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45ZpHfe2qBYG/1/2s0ZLPCdBwpHf2tMji64mRGK+svlWH9sTlJJOYTdycjwxsgT298ebGSLhBVP7x1PGrBUqRg==" workbookSaltValue="nSd+gem3kEfZ3rbWHNRy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V10" i="21" s="1"/>
  <c r="D11" i="2"/>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AL11" i="11"/>
  <c r="AO12" i="17"/>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Z18" i="13"/>
  <c r="BG15" i="8"/>
  <c r="BD9" i="8"/>
  <c r="BA13" i="8"/>
  <c r="X12" i="17"/>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8" i="2" l="1"/>
  <c r="H15" i="2"/>
  <c r="C19" i="3"/>
  <c r="H12" i="2"/>
  <c r="AC10" i="11"/>
  <c r="H13" i="12"/>
  <c r="BG10" i="8"/>
  <c r="AY13" i="8"/>
  <c r="AL10" i="11"/>
  <c r="H12" i="7"/>
  <c r="B12" i="6"/>
  <c r="AO12" i="11"/>
  <c r="AO16" i="11"/>
  <c r="AO9" i="11"/>
  <c r="C11" i="6"/>
  <c r="L12" i="14"/>
  <c r="B17" i="6"/>
  <c r="B16" i="6"/>
  <c r="C17" i="6"/>
  <c r="B9" i="6"/>
  <c r="E11" i="6"/>
  <c r="C10" i="6"/>
  <c r="BF16" i="13"/>
  <c r="BE16" i="13"/>
  <c r="AO17" i="11"/>
  <c r="E15" i="6"/>
  <c r="K15" i="12" s="1"/>
  <c r="BD15" i="8"/>
  <c r="H15" i="7" s="1"/>
  <c r="BE15" i="8"/>
  <c r="I15" i="7" s="1"/>
  <c r="BG16" i="8"/>
  <c r="K16" i="7" s="1"/>
  <c r="E18" i="2"/>
  <c r="AL15" i="11"/>
  <c r="L16" i="14"/>
  <c r="F15" i="11"/>
  <c r="F16" i="17"/>
  <c r="AQ16" i="17" s="1"/>
  <c r="E9" i="6"/>
  <c r="K9" i="12" s="1"/>
  <c r="BF9" i="13"/>
  <c r="D11" i="12"/>
  <c r="D12" i="12"/>
  <c r="BF11" i="8"/>
  <c r="BF9" i="8"/>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F18" i="17"/>
  <c r="D19" i="12"/>
  <c r="F19" i="7"/>
  <c r="K16" i="12"/>
  <c r="P12" i="11"/>
  <c r="H21" i="12"/>
  <c r="G21" i="11"/>
  <c r="D19" i="5"/>
  <c r="I10" i="12"/>
  <c r="AM13" i="11"/>
  <c r="H13" i="2"/>
  <c r="AL18" i="11"/>
  <c r="F18" i="11"/>
  <c r="C18" i="6"/>
  <c r="Y13" i="11"/>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<sst xmlns="http://schemas.openxmlformats.org/spreadsheetml/2006/main" count="2102" uniqueCount="918">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</sst>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D8+wRbJupNAeej0jNFtYglRqmqcVTaLNqXdBDbhwWBOZ1IAEIDwRA/vrQHnLQS5NFN7nBSS3fu+l6tIf6HVgQ==" saltValue="BhNq7X6KWOlAExmyKcFv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59.539682539682545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543</v>
      </c>
      <c r="D16" s="224">
        <f>IF(ISNUMBER(IF(D_I="SI",Datos!I16,Datos!I16+Datos!AC16)),IF(D_I="SI",Datos!I16,Datos!I16+Datos!AC16)," - ")</f>
        <v>542</v>
      </c>
      <c r="E16" s="225">
        <f>IF(ISNUMBER(IF(D_I="SI",Datos!J16,Datos!J16+Datos!AD16)),IF(D_I="SI",Datos!J16,Datos!J16+Datos!AD16)," - ")</f>
        <v>105</v>
      </c>
      <c r="F16" s="225">
        <f>IF(ISNUMBER(IF(D_I="SI",Datos!K16,Datos!K16+Datos!AE16)),IF(D_I="SI",Datos!K16,Datos!K16+Datos!AE16)," - ")</f>
        <v>140</v>
      </c>
      <c r="G16" s="1033" t="str">
        <f>IF(Datos!E16&lt;&gt;"",Datos!E16,Datos!D16)</f>
        <v>04</v>
      </c>
      <c r="H16" s="226">
        <f>IF(ISNUMBER(IF(D_I="SI",Datos!L16,Datos!L16+Datos!AF16)),IF(D_I="SI",Datos!L16,Datos!L16+Datos!AF16)," - ")</f>
        <v>508</v>
      </c>
      <c r="I16" s="1043" t="str">
        <f>IF(ISNUMBER(Datos!AS16/Datos!BM16),Datos!AS16/Datos!BM16," - ")</f>
        <v xml:space="preserve"> - </v>
      </c>
      <c r="J16" s="1044">
        <f>IF(ISNUMBER(Datos!BY16/Datos!CN16),Datos!BY16/Datos!CN16," - ")</f>
        <v>0</v>
      </c>
      <c r="K16" s="229">
        <f t="shared" si="3"/>
        <v>-6.4456721915285453E-2</v>
      </c>
      <c r="L16" s="1024">
        <f>IF(ISNUMBER(NºAsuntos!I16/NºAsuntos!G16),(NºAsuntos!I16/NºAsuntos!G16)*11," - ")</f>
        <v>39.914285714285711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33</v>
      </c>
      <c r="D17" s="224">
        <f>IF(ISNUMBER(IF(D_I="SI",Datos!I17,Datos!I17+Datos!AC17)),IF(D_I="SI",Datos!I17,Datos!I17+Datos!AC17)," - ")</f>
        <v>33</v>
      </c>
      <c r="E17" s="225">
        <f>IF(ISNUMBER(IF(D_I="SI",Datos!J17,Datos!J17+Datos!AD17)),IF(D_I="SI",Datos!J17,Datos!J17+Datos!AD17)," - ")</f>
        <v>9</v>
      </c>
      <c r="F17" s="225">
        <f>IF(ISNUMBER(IF(D_I="SI",Datos!K17,Datos!K17+Datos!AE17)),IF(D_I="SI",Datos!K17,Datos!K17+Datos!AE17)," - ")</f>
        <v>8</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3.0303030303030304E-2</v>
      </c>
      <c r="L17" s="1024">
        <f>IF(ISNUMBER(NºAsuntos!I17/NºAsuntos!G17),(NºAsuntos!I17/NºAsuntos!G17)*11," - ")</f>
        <v>46.75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576</v>
      </c>
      <c r="D18" s="1048">
        <f>SUBTOTAL(9,D15:D17)</f>
        <v>575</v>
      </c>
      <c r="E18" s="1049">
        <f>SUBTOTAL(9,E15:E17)</f>
        <v>114</v>
      </c>
      <c r="F18" s="1049">
        <f>SUBTOTAL(9,F15:F17)</f>
        <v>148</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577</v>
      </c>
      <c r="D19" s="1070">
        <f>SUBTOTAL(9,D9:D18)</f>
        <v>576</v>
      </c>
      <c r="E19" s="1071">
        <f>SUBTOTAL(9,E9:E18)</f>
        <v>114</v>
      </c>
      <c r="F19" s="1071">
        <f>SUBTOTAL(9,F9:F18)</f>
        <v>148</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60VkQIrK0cbOFrnrHIuDZPdEzFolX+Gv5pQHI7R7h4q/ryyYop9/8a17piC5N8bTspl8dB5M/fqc8nE04T5rw==" saltValue="G+aEVJtqbSF0iiz+y3EX4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98oWWU87V2n2xN//8uPh8S/+lvrz3919BVYJzy9gDqDUnHRNLKzkDh1hryCLgZicYUw3L1V9qY2EcP+bHLBbA==" saltValue="0IhTNyWrQyjD1BEo4YwM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1040</v>
      </c>
      <c r="J12" s="182">
        <v>122</v>
      </c>
      <c r="K12" s="182">
        <v>182</v>
      </c>
      <c r="L12" s="182">
        <v>997</v>
      </c>
      <c r="M12" s="182">
        <v>65</v>
      </c>
      <c r="N12" s="182">
        <v>76</v>
      </c>
      <c r="O12" s="180">
        <v>87</v>
      </c>
      <c r="P12" s="182">
        <v>70</v>
      </c>
      <c r="Q12" s="182">
        <v>34</v>
      </c>
      <c r="R12" s="182">
        <v>1086</v>
      </c>
      <c r="S12" s="182">
        <v>1152</v>
      </c>
      <c r="T12" s="182">
        <v>287</v>
      </c>
      <c r="U12" s="182">
        <v>254</v>
      </c>
      <c r="V12" s="182">
        <v>1185</v>
      </c>
      <c r="W12" s="182">
        <v>48</v>
      </c>
      <c r="X12" s="188">
        <v>153</v>
      </c>
      <c r="Y12" s="190">
        <v>32</v>
      </c>
      <c r="Z12" s="180">
        <v>1</v>
      </c>
      <c r="AA12" s="180">
        <v>7</v>
      </c>
      <c r="AB12" s="180">
        <v>26</v>
      </c>
      <c r="AC12" s="182">
        <v>0</v>
      </c>
      <c r="AD12" s="182">
        <v>0</v>
      </c>
      <c r="AE12" s="182">
        <v>0</v>
      </c>
      <c r="AF12" s="188">
        <v>0</v>
      </c>
      <c r="AG12" s="201">
        <v>25</v>
      </c>
      <c r="AH12" s="182">
        <v>7</v>
      </c>
      <c r="AI12" s="182">
        <v>14</v>
      </c>
      <c r="AJ12" s="202">
        <v>18</v>
      </c>
      <c r="AK12" s="181">
        <v>0</v>
      </c>
      <c r="AL12" s="182">
        <v>0</v>
      </c>
      <c r="AM12" s="182">
        <v>0</v>
      </c>
      <c r="AN12" s="188">
        <v>0</v>
      </c>
      <c r="AO12" s="258">
        <v>1</v>
      </c>
      <c r="AP12" s="154">
        <v>1</v>
      </c>
      <c r="AQ12" s="154">
        <v>1</v>
      </c>
      <c r="AR12" s="153">
        <v>1</v>
      </c>
      <c r="AS12" s="339" t="s">
        <v>794</v>
      </c>
      <c r="AT12" s="202"/>
      <c r="AU12" s="201"/>
      <c r="AV12" s="202"/>
      <c r="AW12" s="201"/>
      <c r="AX12" s="202"/>
      <c r="AY12" s="126">
        <f t="shared" si="1"/>
        <v>1177</v>
      </c>
      <c r="AZ12" s="127">
        <f t="shared" si="1"/>
        <v>294</v>
      </c>
      <c r="BA12" s="127">
        <f t="shared" si="1"/>
        <v>268</v>
      </c>
      <c r="BB12" s="127">
        <f t="shared" si="1"/>
        <v>1203</v>
      </c>
      <c r="BC12" s="125">
        <f>IF(ISNUMBER(X12),X12," - ")</f>
        <v>153</v>
      </c>
      <c r="BD12" s="126">
        <f t="shared" si="2"/>
        <v>0.91156462585034015</v>
      </c>
      <c r="BE12" s="127">
        <f t="shared" si="3"/>
        <v>4.4888059701492535</v>
      </c>
      <c r="BF12" s="127">
        <f t="shared" si="4"/>
        <v>0.57089552238805974</v>
      </c>
      <c r="BG12" s="195">
        <f t="shared" si="5"/>
        <v>5.4888059701492535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1041</v>
      </c>
      <c r="J13" s="183">
        <f t="shared" si="6"/>
        <v>122</v>
      </c>
      <c r="K13" s="183">
        <f t="shared" si="6"/>
        <v>182</v>
      </c>
      <c r="L13" s="183">
        <f t="shared" si="6"/>
        <v>998</v>
      </c>
      <c r="M13" s="183">
        <f t="shared" si="6"/>
        <v>65</v>
      </c>
      <c r="N13" s="183">
        <f t="shared" si="6"/>
        <v>76</v>
      </c>
      <c r="O13" s="183">
        <f t="shared" si="6"/>
        <v>87</v>
      </c>
      <c r="P13" s="183">
        <f t="shared" si="6"/>
        <v>70</v>
      </c>
      <c r="Q13" s="183">
        <f t="shared" si="6"/>
        <v>34</v>
      </c>
      <c r="R13" s="183">
        <f t="shared" si="6"/>
        <v>1086</v>
      </c>
      <c r="S13" s="183">
        <f t="shared" si="6"/>
        <v>1152</v>
      </c>
      <c r="T13" s="183">
        <f t="shared" si="6"/>
        <v>287</v>
      </c>
      <c r="U13" s="183">
        <f t="shared" si="6"/>
        <v>254</v>
      </c>
      <c r="V13" s="183">
        <f t="shared" si="6"/>
        <v>1185</v>
      </c>
      <c r="W13" s="183">
        <f t="shared" si="6"/>
        <v>48</v>
      </c>
      <c r="X13" s="183">
        <f t="shared" si="6"/>
        <v>153</v>
      </c>
      <c r="Y13" s="183">
        <f t="shared" si="6"/>
        <v>32</v>
      </c>
      <c r="Z13" s="183">
        <f t="shared" si="6"/>
        <v>1</v>
      </c>
      <c r="AA13" s="183">
        <f t="shared" si="6"/>
        <v>7</v>
      </c>
      <c r="AB13" s="183">
        <f t="shared" si="6"/>
        <v>26</v>
      </c>
      <c r="AC13" s="183">
        <f t="shared" si="6"/>
        <v>0</v>
      </c>
      <c r="AD13" s="183">
        <f t="shared" si="6"/>
        <v>0</v>
      </c>
      <c r="AE13" s="183">
        <f t="shared" si="6"/>
        <v>0</v>
      </c>
      <c r="AF13" s="183">
        <f>SUBTOTAL(9,AF9:AF12)</f>
        <v>0</v>
      </c>
      <c r="AG13" s="183">
        <f t="shared" ref="AG13:AT13" si="7">SUBTOTAL(9,AG8:AG12)</f>
        <v>25</v>
      </c>
      <c r="AH13" s="183">
        <f t="shared" si="7"/>
        <v>7</v>
      </c>
      <c r="AI13" s="183">
        <f t="shared" si="7"/>
        <v>14</v>
      </c>
      <c r="AJ13" s="183">
        <f t="shared" si="7"/>
        <v>18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1177</v>
      </c>
      <c r="AZ13" s="183">
        <f>SUBTOTAL(9,AZ8:AZ12)</f>
        <v>294</v>
      </c>
      <c r="BA13" s="183">
        <f>SUBTOTAL(9,BA8:BA12)</f>
        <v>268</v>
      </c>
      <c r="BB13" s="183">
        <f>SUBTOTAL(9,BB8:BB12)</f>
        <v>1203</v>
      </c>
      <c r="BC13" s="183">
        <f>SUBTOTAL(9,BC8:BC12)</f>
        <v>153</v>
      </c>
      <c r="BD13" s="204">
        <f>IF(ISNUMBER(BA13/AZ13),BA13/AZ13," - ")</f>
        <v>0.91156462585034015</v>
      </c>
      <c r="BE13" s="205">
        <f>IF(ISNUMBER(BB13/BA13),BB13/BA13, " - ")</f>
        <v>4.4888059701492535</v>
      </c>
      <c r="BF13" s="205">
        <f>IF(ISNUMBER(BC13/BA13),BC13/BA13, " - ")</f>
        <v>0.57089552238805974</v>
      </c>
      <c r="BG13" s="206">
        <f>IF(ISNUMBER((AY13+AZ13)/BA13),(AY13+AZ13)/BA13," - ")</f>
        <v>5.4888059701492535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542</v>
      </c>
      <c r="J16" s="182">
        <v>105</v>
      </c>
      <c r="K16" s="182">
        <v>140</v>
      </c>
      <c r="L16" s="182">
        <v>508</v>
      </c>
      <c r="M16" s="182">
        <v>32</v>
      </c>
      <c r="N16" s="182">
        <v>68</v>
      </c>
      <c r="O16" s="180">
        <v>2</v>
      </c>
      <c r="P16" s="182">
        <v>6</v>
      </c>
      <c r="Q16" s="182">
        <v>2</v>
      </c>
      <c r="R16" s="182">
        <v>33</v>
      </c>
      <c r="S16" s="182">
        <v>525</v>
      </c>
      <c r="T16" s="182">
        <v>155</v>
      </c>
      <c r="U16" s="182">
        <v>146</v>
      </c>
      <c r="V16" s="182">
        <v>535</v>
      </c>
      <c r="W16" s="182">
        <v>16</v>
      </c>
      <c r="X16" s="188">
        <v>79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525</v>
      </c>
      <c r="AZ16" s="127">
        <f t="shared" si="9"/>
        <v>155</v>
      </c>
      <c r="BA16" s="127">
        <f t="shared" si="9"/>
        <v>146</v>
      </c>
      <c r="BB16" s="127">
        <f t="shared" si="9"/>
        <v>535</v>
      </c>
      <c r="BC16" s="125">
        <f>IF(ISNUMBER(W16),W16," - ")</f>
        <v>16</v>
      </c>
      <c r="BD16" s="126">
        <f t="shared" ref="BD16" si="11">IF(ISNUMBER(BA16/AZ16),BA16/AZ16," - ")</f>
        <v>0.9419354838709677</v>
      </c>
      <c r="BE16" s="127">
        <f t="shared" ref="BE16" si="12">IF(ISNUMBER(BB16/BA16),BB16/BA16, " - ")</f>
        <v>3.6643835616438358</v>
      </c>
      <c r="BF16" s="127">
        <f t="shared" ref="BF16" si="13">IF(ISNUMBER(BC16/BA16),BC16/BA16, " - ")</f>
        <v>0.1095890410958904</v>
      </c>
      <c r="BG16" s="195">
        <f t="shared" si="10"/>
        <v>4.6575342465753424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v>
      </c>
      <c r="J17" s="182">
        <v>9</v>
      </c>
      <c r="K17" s="182">
        <v>8</v>
      </c>
      <c r="L17" s="182">
        <v>34</v>
      </c>
      <c r="M17" s="182">
        <v>4</v>
      </c>
      <c r="N17" s="182">
        <v>3</v>
      </c>
      <c r="O17" s="182">
        <v>0</v>
      </c>
      <c r="P17" s="182">
        <v>0</v>
      </c>
      <c r="Q17" s="182">
        <v>0</v>
      </c>
      <c r="R17" s="182">
        <v>0</v>
      </c>
      <c r="S17" s="182">
        <v>36</v>
      </c>
      <c r="T17" s="182">
        <v>10</v>
      </c>
      <c r="U17" s="182">
        <v>10</v>
      </c>
      <c r="V17" s="182">
        <v>36</v>
      </c>
      <c r="W17" s="182">
        <v>0</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36</v>
      </c>
      <c r="AZ17" s="129">
        <f t="shared" si="14"/>
        <v>10</v>
      </c>
      <c r="BA17" s="129">
        <f t="shared" si="14"/>
        <v>10</v>
      </c>
      <c r="BB17" s="129">
        <f t="shared" si="14"/>
        <v>36</v>
      </c>
      <c r="BC17" s="125">
        <f>IF(ISNUMBER(W17),W17," - ")</f>
        <v>0</v>
      </c>
      <c r="BD17" s="126">
        <f>IF(ISNUMBER(BA17/AZ17),BA17/AZ17," - ")</f>
        <v>1</v>
      </c>
      <c r="BE17" s="127">
        <f>IF(ISNUMBER(BB17/BA17),BB17/BA17, " - ")</f>
        <v>3.6</v>
      </c>
      <c r="BF17" s="127">
        <f>IF(ISNUMBER(BC17/BA17),BC17/BA17, " - ")</f>
        <v>0</v>
      </c>
      <c r="BG17" s="195">
        <f>IF(ISNUMBER((AY17+AZ17)/BA17),(AY17+AZ17)/BA17," - ")</f>
        <v>4.5999999999999996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575</v>
      </c>
      <c r="J18" s="183">
        <f t="shared" si="15"/>
        <v>114</v>
      </c>
      <c r="K18" s="183">
        <f t="shared" si="15"/>
        <v>148</v>
      </c>
      <c r="L18" s="183">
        <f t="shared" si="15"/>
        <v>542</v>
      </c>
      <c r="M18" s="183">
        <f t="shared" si="15"/>
        <v>36</v>
      </c>
      <c r="N18" s="183">
        <f t="shared" si="15"/>
        <v>71</v>
      </c>
      <c r="O18" s="183">
        <f t="shared" si="15"/>
        <v>2</v>
      </c>
      <c r="P18" s="183">
        <f t="shared" si="15"/>
        <v>6</v>
      </c>
      <c r="Q18" s="183">
        <f t="shared" si="15"/>
        <v>2</v>
      </c>
      <c r="R18" s="183">
        <f t="shared" si="15"/>
        <v>33</v>
      </c>
      <c r="S18" s="183">
        <f t="shared" si="15"/>
        <v>561</v>
      </c>
      <c r="T18" s="183">
        <f t="shared" si="15"/>
        <v>165</v>
      </c>
      <c r="U18" s="183">
        <f t="shared" si="15"/>
        <v>156</v>
      </c>
      <c r="V18" s="183">
        <f t="shared" si="15"/>
        <v>571</v>
      </c>
      <c r="W18" s="183">
        <f t="shared" si="15"/>
        <v>16</v>
      </c>
      <c r="X18" s="183">
        <f t="shared" si="15"/>
        <v>89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561</v>
      </c>
      <c r="AZ18" s="183">
        <f>SUBTOTAL(9,AZ14:AZ17)</f>
        <v>165</v>
      </c>
      <c r="BA18" s="183">
        <f>SUBTOTAL(9,BA14:BA17)</f>
        <v>156</v>
      </c>
      <c r="BB18" s="183">
        <f>SUBTOTAL(9,BB14:BB17)</f>
        <v>571</v>
      </c>
      <c r="BC18" s="183">
        <f>SUBTOTAL(9,BC14:BC17)</f>
        <v>16</v>
      </c>
      <c r="BD18" s="204">
        <f>IF(ISNUMBER(BA18/AZ18),BA18/AZ18," - ")</f>
        <v>0.94545454545454544</v>
      </c>
      <c r="BE18" s="205">
        <f>IF(ISNUMBER(BB18/BA18),BB18/BA18, " - ")</f>
        <v>3.6602564102564101</v>
      </c>
      <c r="BF18" s="205">
        <f>IF(ISNUMBER(BC18/BA18),BC18/BA18, " - ")</f>
        <v>0.10256410256410256</v>
      </c>
      <c r="BG18" s="206">
        <f>IF(ISNUMBER((AY18+AZ18)/BA18),(AY18+AZ18)/BA18," - ")</f>
        <v>4.6538461538461542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1616</v>
      </c>
      <c r="J19" s="134">
        <f t="shared" si="18"/>
        <v>236</v>
      </c>
      <c r="K19" s="134">
        <f t="shared" si="18"/>
        <v>330</v>
      </c>
      <c r="L19" s="134">
        <f t="shared" si="18"/>
        <v>1540</v>
      </c>
      <c r="M19" s="134">
        <f t="shared" si="18"/>
        <v>101</v>
      </c>
      <c r="N19" s="134">
        <f t="shared" si="18"/>
        <v>147</v>
      </c>
      <c r="O19" s="134">
        <f t="shared" si="18"/>
        <v>89</v>
      </c>
      <c r="P19" s="134">
        <f t="shared" si="18"/>
        <v>76</v>
      </c>
      <c r="Q19" s="134">
        <f t="shared" si="18"/>
        <v>36</v>
      </c>
      <c r="R19" s="134">
        <f t="shared" si="18"/>
        <v>1119</v>
      </c>
      <c r="S19" s="134">
        <f t="shared" si="18"/>
        <v>1713</v>
      </c>
      <c r="T19" s="134">
        <f t="shared" si="18"/>
        <v>452</v>
      </c>
      <c r="U19" s="134">
        <f t="shared" si="18"/>
        <v>410</v>
      </c>
      <c r="V19" s="134">
        <f t="shared" si="18"/>
        <v>1756</v>
      </c>
      <c r="W19" s="134">
        <f t="shared" si="18"/>
        <v>64</v>
      </c>
      <c r="X19" s="134">
        <f t="shared" si="18"/>
        <v>242</v>
      </c>
      <c r="Y19" s="134">
        <f t="shared" si="18"/>
        <v>32</v>
      </c>
      <c r="Z19" s="134">
        <f t="shared" si="18"/>
        <v>1</v>
      </c>
      <c r="AA19" s="134">
        <f t="shared" si="18"/>
        <v>7</v>
      </c>
      <c r="AB19" s="134">
        <f t="shared" si="18"/>
        <v>26</v>
      </c>
      <c r="AC19" s="134">
        <f t="shared" si="18"/>
        <v>0</v>
      </c>
      <c r="AD19" s="134">
        <f t="shared" si="18"/>
        <v>0</v>
      </c>
      <c r="AE19" s="134">
        <f t="shared" si="18"/>
        <v>0</v>
      </c>
      <c r="AF19" s="134">
        <f t="shared" si="18"/>
        <v>0</v>
      </c>
      <c r="AG19" s="134">
        <f t="shared" si="18"/>
        <v>25</v>
      </c>
      <c r="AH19" s="134">
        <f t="shared" si="18"/>
        <v>7</v>
      </c>
      <c r="AI19" s="134">
        <f t="shared" si="18"/>
        <v>14</v>
      </c>
      <c r="AJ19" s="134">
        <f t="shared" si="18"/>
        <v>18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1738</v>
      </c>
      <c r="AZ19" s="134">
        <f>SUBTOTAL(9,AZ9:AZ18)</f>
        <v>459</v>
      </c>
      <c r="BA19" s="134">
        <f>SUBTOTAL(9,BA9:BA18)</f>
        <v>424</v>
      </c>
      <c r="BB19" s="134">
        <f>SUBTOTAL(9,BB9:BB18)</f>
        <v>1774</v>
      </c>
      <c r="BC19" s="135">
        <f>SUBTOTAL(9,BC9:BC18)</f>
        <v>169</v>
      </c>
      <c r="BD19" s="212">
        <f>IF(ISNUMBER(BA19/AZ19),BA19/AZ19," - ")</f>
        <v>0.92374727668845313</v>
      </c>
      <c r="BE19" s="209">
        <f>IF(ISNUMBER(BB19/BA19),BB19/BA19, " - ")</f>
        <v>4.1839622641509431</v>
      </c>
      <c r="BF19" s="209">
        <f>IF(ISNUMBER(BC19/BA19),BC19/BA19, " - ")</f>
        <v>0.39858490566037735</v>
      </c>
      <c r="BG19" s="135">
        <f>IF(ISNUMBER((AY19+AZ19)/BA19),(AY19+AZ19)/BA19," - ")</f>
        <v>5.1816037735849054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MZxxL+dFvhWsunfS6nwJV8QI96WyWQcakz+AKCoD4A599z/DRlqRMATv6pjWck3t6huAUvoY27MRntraMYr/A==" saltValue="yJZXa63Mhp8+3fQiaNvS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KAaGfvBZeNzITcyZnTIrePYP8BrebGjZZ0AuVHrjrb0CwNF4KpSNIquosxeRiXgty7kIzjoUck+Tov4yMZIkg==" saltValue="Mqql/g7wY9tzZUJCkWvU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VILLAFRANCA DE LOS BARROS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v>
      </c>
      <c r="O12" s="333"/>
      <c r="P12" s="333"/>
      <c r="Q12" s="225">
        <f>IF(ISNUMBER(Datos!P12),Datos!P12,0)</f>
        <v>70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1086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65</v>
      </c>
      <c r="BD12" s="228">
        <f>IF(ISNUMBER(Datos!N12),Datos!N12," - ")</f>
        <v>76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1.5365853658536586</v>
      </c>
      <c r="BH12" s="259">
        <f>IF(ISNUMBER(((IF(J_V="SI",Datos!L12/Datos!K12,(Datos!L12+Datos!AB12)/(Datos!K12+Datos!AA12)))*11)/factor_trimestre),((IF(J_V="SI",Datos!L12/Datos!K12,(Datos!L12+Datos!AB12)/(Datos!K12+Datos!AA12)))*11)/factor_trimestre," - ")</f>
        <v>10.825396825396826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3.4285714285714287E-2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v>
      </c>
      <c r="O13" s="899">
        <f t="shared" si="0"/>
        <v>0</v>
      </c>
      <c r="P13" s="899">
        <f t="shared" si="0"/>
        <v>0</v>
      </c>
      <c r="Q13" s="898">
        <f t="shared" si="0"/>
        <v>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34</v>
      </c>
      <c r="AD13" s="898">
        <f t="shared" si="1"/>
        <v>0</v>
      </c>
      <c r="AE13" s="898">
        <f t="shared" si="1"/>
        <v>0</v>
      </c>
      <c r="AF13" s="898">
        <f t="shared" si="1"/>
        <v>1</v>
      </c>
      <c r="AG13" s="898">
        <f t="shared" si="1"/>
        <v>0</v>
      </c>
      <c r="AH13" s="898">
        <f t="shared" si="1"/>
        <v>26</v>
      </c>
      <c r="AI13" s="898">
        <f t="shared" si="1"/>
        <v>0</v>
      </c>
      <c r="AJ13" s="898">
        <f t="shared" si="1"/>
        <v>0</v>
      </c>
      <c r="AK13" s="898">
        <f t="shared" si="1"/>
        <v>0</v>
      </c>
      <c r="AL13" s="898">
        <f t="shared" si="1"/>
        <v>0</v>
      </c>
      <c r="AM13" s="898">
        <f t="shared" si="1"/>
        <v>1086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65</v>
      </c>
      <c r="BD13" s="898">
        <f t="shared" si="1"/>
        <v>76</v>
      </c>
      <c r="BE13" s="898">
        <f t="shared" si="1"/>
        <v>0</v>
      </c>
      <c r="BF13" s="898">
        <f t="shared" si="1"/>
        <v>0</v>
      </c>
      <c r="BG13" s="898">
        <f>IF(ISNUMBER(Datos!K13/Datos!J13),Datos!K13/Datos!J13," - ")</f>
        <v>1.4918032786885247</v>
      </c>
      <c r="BH13" s="902">
        <f>IF(ISNUMBER(((Datos!L13/Datos!K13)*11)/factor_trimestre),((Datos!L13/Datos!K13)*11)/factor_trimestre," - ")</f>
        <v>10.967032967032967</v>
      </c>
      <c r="BI13" s="898">
        <f>IF(ISNUMBER('Resol  Asuntos'!D13/NºAsuntos!G13),'Resol  Asuntos'!D13/NºAsuntos!G13," - ")</f>
        <v>0.3439153439153439</v>
      </c>
      <c r="BJ13" s="898" t="str">
        <f>IF(ISNUMBER(Datos!CI13/Datos!CJ13),Datos!CI13/Datos!CJ13," - ")</f>
        <v xml:space="preserve"> - </v>
      </c>
      <c r="BK13" s="898">
        <f>SUBTOTAL(9,BK8:BK12)</f>
        <v>0</v>
      </c>
      <c r="BL13" s="898">
        <f>IF(ISNUMBER((I13-AB13+L13)/(F13)),(I13-AB13+L13)/(F13)," - ")</f>
        <v>0</v>
      </c>
      <c r="BM13" s="903">
        <f>SUBTOTAL(9,BM9:BM12)</f>
        <v>3.4285714285714287E-2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543</v>
      </c>
      <c r="G16" s="597">
        <f>IF(ISNUMBER(IF(D_I="SI",Datos!I16,Datos!I16+Datos!AC16)),IF(D_I="SI",Datos!I16,Datos!I16+Datos!AC16)," - ")</f>
        <v>542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140</v>
      </c>
      <c r="AC16" s="225">
        <f>IF(ISNUMBER(Datos!Q16),Datos!Q16," - ")</f>
        <v>2</v>
      </c>
      <c r="AD16" s="333"/>
      <c r="AE16" s="483"/>
      <c r="AF16" s="595">
        <f>IF(ISNUMBER(IF(D_I="SI",Datos!L16,Datos!L16+Datos!AF16)),IF(D_I="SI",Datos!L16,Datos!L16+Datos!AF16)," - ")</f>
        <v>508</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v>
      </c>
      <c r="BD16" s="228">
        <f>IF(ISNUMBER(Datos!N16),Datos!N16," - ")</f>
        <v>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1.3333333333333333</v>
      </c>
      <c r="BH16" s="259">
        <f>IF(ISNUMBER(((IF(D_I="SI",Datos!L16/Datos!K16,(Datos!L16+Datos!AF16)/(Datos!K16+Datos!AE16)))*11)/factor_trimestre),((IF(D_I="SI",Datos!L16/Datos!K16,(Datos!L16+Datos!AF16)/(Datos!K16+Datos!AE16)))*11)/factor_trimestre," - ")</f>
        <v>7.2571428571428562</v>
      </c>
      <c r="BI16" s="242">
        <f>IF(ISNUMBER('Resol  Asuntos'!D16/NºAsuntos!G16),'Resol  Asuntos'!D16/NºAsuntos!G16," - ")</f>
        <v>0.22857142857142856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34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0.88888888888888884</v>
      </c>
      <c r="BH17" s="259">
        <f>IF(ISNUMBER(((IF(D_I="SI",Datos!L17/Datos!K17,(Datos!L17+Datos!AF17)/(Datos!K17+Datos!AE17)))*11)/factor_trimestre),((IF(D_I="SI",Datos!L17/Datos!K17,(Datos!L17+Datos!AF17)/(Datos!K17+Datos!AE17)))*11)/factor_trimestre," - ")</f>
        <v>8.5</v>
      </c>
      <c r="BI17" s="242">
        <f>IF(ISNUMBER('Resol  Asuntos'!D17/NºAsuntos!G17),'Resol  Asuntos'!D17/NºAsuntos!G17," - ")</f>
        <v>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543</v>
      </c>
      <c r="G18" s="897">
        <f>SUBTOTAL(9,G15:G17)</f>
        <v>575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148</v>
      </c>
      <c r="AC18" s="898">
        <f t="shared" si="4"/>
        <v>2</v>
      </c>
      <c r="AD18" s="898">
        <f t="shared" si="4"/>
        <v>0</v>
      </c>
      <c r="AE18" s="898">
        <f t="shared" si="4"/>
        <v>0</v>
      </c>
      <c r="AF18" s="898">
        <f t="shared" si="4"/>
        <v>542</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71</v>
      </c>
      <c r="BE18" s="898">
        <f t="shared" si="4"/>
        <v>0</v>
      </c>
      <c r="BF18" s="898">
        <f t="shared" si="4"/>
        <v>0</v>
      </c>
      <c r="BG18" s="898">
        <f>IF(ISNUMBER(Datos!K18/Datos!J18),Datos!K18/Datos!J18," - ")</f>
        <v>1.2982456140350878</v>
      </c>
      <c r="BH18" s="902">
        <f>IF(ISNUMBER(((Datos!L18/Datos!K18)*11)/factor_trimestre),((Datos!L18/Datos!K18)*11)/factor_trimestre," - ")</f>
        <v>7.3243243243243237</v>
      </c>
      <c r="BI18" s="898">
        <f>SUBTOTAL(9,BI15:BI17)</f>
        <v>0.72857142857142854</v>
      </c>
      <c r="BJ18" s="898">
        <f>SUBTOTAL(9,BJ15:BJ17)</f>
        <v>0</v>
      </c>
      <c r="BK18" s="898">
        <f>SUBTOTAL(9,BK15:BK17)</f>
        <v>0</v>
      </c>
      <c r="BL18" s="898">
        <f>IF(ISNUMBER((I18-AB18+L18)/(F18)),(I18-AB18+L18)/(F18)," - ")</f>
        <v>-0.27255985267034993</v>
      </c>
      <c r="BM18" s="904">
        <f>IF(ISNUMBER((Datos!P18-Datos!Q18)/(Datos!R18-Datos!P18+Datos!Q18)),(Datos!P18-Datos!Q18)/(Datos!R18-Datos!P18+Datos!Q18)," - ")</f>
        <v>0.13793103448275862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544</v>
      </c>
      <c r="G19" s="819">
        <f t="shared" si="6"/>
        <v>576</v>
      </c>
      <c r="H19" s="821">
        <f t="shared" si="6"/>
        <v>0</v>
      </c>
      <c r="I19" s="819">
        <f t="shared" si="6"/>
        <v>0</v>
      </c>
      <c r="J19" s="821">
        <f t="shared" si="6"/>
        <v>0</v>
      </c>
      <c r="K19" s="821">
        <f t="shared" si="6"/>
        <v>0</v>
      </c>
      <c r="L19" s="880">
        <f t="shared" si="6"/>
        <v>0</v>
      </c>
      <c r="M19" s="880">
        <f t="shared" si="6"/>
        <v>0</v>
      </c>
      <c r="N19" s="880">
        <f t="shared" si="6"/>
        <v>1</v>
      </c>
      <c r="O19" s="880">
        <f t="shared" si="6"/>
        <v>0</v>
      </c>
      <c r="P19" s="880">
        <f t="shared" si="6"/>
        <v>0</v>
      </c>
      <c r="Q19" s="821">
        <f t="shared" si="6"/>
        <v>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148</v>
      </c>
      <c r="AC19" s="820">
        <f t="shared" si="7"/>
        <v>36</v>
      </c>
      <c r="AD19" s="820">
        <f t="shared" si="7"/>
        <v>0</v>
      </c>
      <c r="AE19" s="820">
        <f t="shared" si="7"/>
        <v>0</v>
      </c>
      <c r="AF19" s="827">
        <f t="shared" si="7"/>
        <v>543</v>
      </c>
      <c r="AG19" s="827">
        <f t="shared" si="7"/>
        <v>0</v>
      </c>
      <c r="AH19" s="827">
        <f t="shared" si="7"/>
        <v>26</v>
      </c>
      <c r="AI19" s="827">
        <f t="shared" si="7"/>
        <v>0</v>
      </c>
      <c r="AJ19" s="820">
        <f t="shared" si="7"/>
        <v>0</v>
      </c>
      <c r="AK19" s="827">
        <f t="shared" si="7"/>
        <v>0</v>
      </c>
      <c r="AL19" s="827">
        <f t="shared" si="7"/>
        <v>0</v>
      </c>
      <c r="AM19" s="827">
        <f t="shared" si="7"/>
        <v>1119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101</v>
      </c>
      <c r="BD19" s="819">
        <f t="shared" si="7"/>
        <v>147</v>
      </c>
      <c r="BE19" s="819">
        <f t="shared" si="7"/>
        <v>0</v>
      </c>
      <c r="BF19" s="829">
        <f t="shared" si="7"/>
        <v>0</v>
      </c>
      <c r="BG19" s="914">
        <f>IF(ISNUMBER(Datos!K19/Datos!J19),Datos!K19/Datos!J19," - ")</f>
        <v>1.3983050847457628</v>
      </c>
      <c r="BH19" s="914">
        <f>IF(ISNUMBER(((Datos!L19/Datos!K19)*11)/factor_trimestre),((Datos!L19/Datos!K19)*11)/factor_trimestre," - ")</f>
        <v>9.3333333333333339</v>
      </c>
      <c r="BI19" s="812">
        <f>IF(ISNUMBER(Datos!J19/Datos!I19),Datos!J19/Datos!I19," - ")</f>
        <v>0.14603960396039603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-0.27205882352941174</v>
      </c>
      <c r="BM19" s="888">
        <f>IF(ISNUMBER((Datos!P19-Datos!Q19+R19)/(Datos!R19-Datos!P19+Datos!Q19-R19)),(Datos!P19-Datos!Q19+R19)/(Datos!R19-Datos!P19+Datos!Q19-R19)," - ")</f>
        <v>3.7071362372567189E-2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312.92384590077717</v>
      </c>
      <c r="G21" s="551">
        <f>IF(ISNUMBER(STDEV(G8:G18)),STDEV(G8:G18),"-")</f>
        <v>300.02466565267599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77.531928906741385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28.232369129541123</v>
      </c>
      <c r="BD21" s="550"/>
      <c r="BE21" s="550">
        <f>IF(ISNUMBER(STDEV(BE8:BE18)),STDEV(BE8:BE18),"-")</f>
        <v>0</v>
      </c>
      <c r="BF21" s="555">
        <f>IF(ISNUMBER(STDEV(BF8:BF18)),STDEV(BF8:BF18),"-")</f>
        <v>0</v>
      </c>
      <c r="BG21" s="774">
        <f>IF(ISNUMBER(STDEV(BG8:BG18)),STDEV(BG8:BG18),"-")</f>
        <v>0.25612998485573291</v>
      </c>
      <c r="BH21" s="775">
        <f>IF(ISNUMBER(STDEV(BH8:BH18)),STDEV(BH8:BH18),"-")</f>
        <v>1.8230161724038638</v>
      </c>
      <c r="BI21" s="248">
        <f>IF(ISNUMBER(STDEV(BI8:BI18)),STDEV(BI8:BI18),"-")</f>
        <v>0.21632254264597137</v>
      </c>
      <c r="BJ21" s="229" t="str">
        <f>IF(ISNUMBER(BL21/BM21),BL21/BM21," - ")</f>
        <v xml:space="preserve"> - </v>
      </c>
      <c r="BK21" s="574"/>
      <c r="BL21" s="558">
        <f>IF(ISNUMBER(STDEV(BL8:BL18)),STDEV(BL8:BL18),"-")</f>
        <v>0.19272892010241074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ZNhe54zDC+5ZqgihdR/gjAVu9DDAPwJ0yTW+wJOttKzGRzPnLc8pziQ6Cf1o+eC8/qMZ+TkwvH1G98XD3/qkg==" saltValue="MnMdfX3prxGGeDoAYmmD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VILLAFRANCA DE LOS BARROS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v>
      </c>
      <c r="AA12" s="331" t="str">
        <f>IF(ISNUMBER(IF(J_V="SI",Datos!L12,Datos!L12+Datos!AB12)-IF(Monitorios="SI",Datos!CD12,0)),
                          IF(J_V="SI",Datos!L12,Datos!L12+Datos!AB12)-IF(Monitorios="SI",Datos!CD12,0),
                          " - ")</f>
        <v xml:space="preserve"> - </v>
      </c>
      <c r="AB12" s="333"/>
      <c r="AC12" s="333"/>
      <c r="AD12" s="483"/>
      <c r="AE12" s="483">
        <f>IF(ISNUMBER(Datos!R12),Datos!R12," - ")</f>
        <v>1086</v>
      </c>
      <c r="AF12" s="228" t="str">
        <f>IF(ISNUMBER(Datos!BV12),Datos!BV12," - ")</f>
        <v xml:space="preserve"> - </v>
      </c>
      <c r="AG12" s="224" t="str">
        <f>IF(ISNUMBER(Datos!DV12),Datos!DV12," - ")</f>
        <v xml:space="preserve"> - </v>
      </c>
      <c r="AH12" s="297"/>
      <c r="AI12" s="226"/>
      <c r="AJ12" s="224">
        <f>IF(ISNUMBER(Datos!M12),Datos!M12," - ")</f>
        <v>65</v>
      </c>
      <c r="AK12" s="228">
        <f>IF(ISNUMBER(Datos!N12),Datos!N12," - ")</f>
        <v>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10.825396825396826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3.4285714285714287E-2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34</v>
      </c>
      <c r="AA13" s="899">
        <f t="shared" si="2"/>
        <v>1</v>
      </c>
      <c r="AB13" s="899">
        <f t="shared" si="2"/>
        <v>0</v>
      </c>
      <c r="AC13" s="899">
        <f t="shared" si="2"/>
        <v>0</v>
      </c>
      <c r="AD13" s="899">
        <f t="shared" si="2"/>
        <v>0</v>
      </c>
      <c r="AE13" s="899">
        <f t="shared" si="2"/>
        <v>1086</v>
      </c>
      <c r="AF13" s="907">
        <f t="shared" si="2"/>
        <v>0</v>
      </c>
      <c r="AG13" s="907">
        <f t="shared" si="2"/>
        <v>0</v>
      </c>
      <c r="AH13" s="907">
        <f t="shared" si="2"/>
        <v>0</v>
      </c>
      <c r="AI13" s="907">
        <f t="shared" si="2"/>
        <v>0</v>
      </c>
      <c r="AJ13" s="907">
        <f t="shared" si="2"/>
        <v>65</v>
      </c>
      <c r="AK13" s="907">
        <f t="shared" si="2"/>
        <v>76</v>
      </c>
      <c r="AL13" s="907">
        <f t="shared" si="2"/>
        <v>0</v>
      </c>
      <c r="AM13" s="907">
        <f t="shared" si="2"/>
        <v>0</v>
      </c>
      <c r="AN13" s="907">
        <f t="shared" si="2"/>
        <v>0</v>
      </c>
      <c r="AO13" s="903">
        <f>IF(ISNUMBER(((NºAsuntos!I13/NºAsuntos!G13)*11)/factor_trimestre),((NºAsuntos!I13/NºAsuntos!G13)*11)/factor_trimestre," - ")</f>
        <v>10.835978835978835</v>
      </c>
      <c r="AP13" s="909" t="str">
        <f>IF(ISNUMBER(Datos!CI13/Datos!CJ13),Datos!CI13/Datos!CJ13," - ")</f>
        <v xml:space="preserve"> - </v>
      </c>
      <c r="AQ13" s="927">
        <f t="shared" ref="AQ13:AV13" si="3">SUBTOTAL(9,AQ9:AQ12)</f>
        <v>0</v>
      </c>
      <c r="AR13" s="927">
        <f t="shared" si="3"/>
        <v>3.4285714285714287E-2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543</v>
      </c>
      <c r="G16" s="224">
        <f>IF(ISNUMBER(IF(D_I="SI",Datos!I16,Datos!I16+Datos!AC16)),IF(D_I="SI",Datos!I16,Datos!I16+Datos!AC16)," - ")</f>
        <v>542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140</v>
      </c>
      <c r="Z16" s="618">
        <f>IF(ISNUMBER(Datos!Q16),Datos!Q16," - ")</f>
        <v>2</v>
      </c>
      <c r="AA16" s="331">
        <f>IF(ISNUMBER(IF(D_I="SI",Datos!L16,Datos!L16+Datos!AF16)),IF(D_I="SI",Datos!L16,Datos!L16+Datos!AF16)," - ")</f>
        <v>508</v>
      </c>
      <c r="AB16" s="333"/>
      <c r="AC16" s="333"/>
      <c r="AD16" s="483"/>
      <c r="AE16" s="483">
        <f>IF(ISNUMBER(Datos!R16),Datos!R16," - ")</f>
        <v>33</v>
      </c>
      <c r="AF16" s="228" t="str">
        <f>IF(ISNUMBER(Datos!BV16),Datos!BV16," - ")</f>
        <v xml:space="preserve"> - </v>
      </c>
      <c r="AG16" s="224"/>
      <c r="AH16" s="297"/>
      <c r="AI16" s="226"/>
      <c r="AJ16" s="224">
        <f>IF(ISNUMBER(Datos!M16),Datos!M16," - ")</f>
        <v>32</v>
      </c>
      <c r="AK16" s="228">
        <f>IF(ISNUMBER(Datos!N16),Datos!N16," - ")</f>
        <v>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7.2571428571428562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34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543</v>
      </c>
      <c r="G18" s="897">
        <f>SUBTOTAL(9,G15:G17)</f>
        <v>575</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148</v>
      </c>
      <c r="Z18" s="931">
        <f t="shared" si="5"/>
        <v>2</v>
      </c>
      <c r="AA18" s="931">
        <f t="shared" si="5"/>
        <v>542</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36</v>
      </c>
      <c r="AK18" s="931">
        <f t="shared" si="5"/>
        <v>71</v>
      </c>
      <c r="AL18" s="931">
        <f t="shared" si="5"/>
        <v>0</v>
      </c>
      <c r="AM18" s="931">
        <f t="shared" si="5"/>
        <v>0</v>
      </c>
      <c r="AN18" s="931">
        <f t="shared" si="5"/>
        <v>0</v>
      </c>
      <c r="AO18" s="933">
        <f>IF(ISNUMBER(((NºAsuntos!I18/NºAsuntos!G18)*11)/factor_trimestre),((NºAsuntos!I18/NºAsuntos!G18)*11)/factor_trimestre," - ")</f>
        <v>7.3243243243243237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544</v>
      </c>
      <c r="G19" s="819">
        <f t="shared" si="7"/>
        <v>576</v>
      </c>
      <c r="H19" s="820">
        <f t="shared" si="7"/>
        <v>0</v>
      </c>
      <c r="I19" s="819">
        <f t="shared" si="7"/>
        <v>0</v>
      </c>
      <c r="J19" s="821">
        <f t="shared" si="7"/>
        <v>0</v>
      </c>
      <c r="K19" s="819">
        <f t="shared" si="7"/>
        <v>0</v>
      </c>
      <c r="L19" s="822">
        <f t="shared" si="7"/>
        <v>0</v>
      </c>
      <c r="M19" s="819">
        <f t="shared" si="7"/>
        <v>0</v>
      </c>
      <c r="N19" s="820">
        <f t="shared" si="7"/>
        <v>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148</v>
      </c>
      <c r="Z19" s="826">
        <f t="shared" si="8"/>
        <v>36</v>
      </c>
      <c r="AA19" s="827">
        <f t="shared" si="8"/>
        <v>543</v>
      </c>
      <c r="AB19" s="827">
        <f t="shared" si="8"/>
        <v>0</v>
      </c>
      <c r="AC19" s="827">
        <f t="shared" si="8"/>
        <v>0</v>
      </c>
      <c r="AD19" s="828">
        <f t="shared" si="8"/>
        <v>0</v>
      </c>
      <c r="AE19" s="828">
        <f t="shared" si="8"/>
        <v>1119</v>
      </c>
      <c r="AF19" s="829">
        <f t="shared" si="8"/>
        <v>0</v>
      </c>
      <c r="AG19" s="830">
        <f t="shared" si="8"/>
        <v>0</v>
      </c>
      <c r="AH19" s="831">
        <f t="shared" si="8"/>
        <v>0</v>
      </c>
      <c r="AI19" s="829">
        <f t="shared" si="8"/>
        <v>0</v>
      </c>
      <c r="AJ19" s="819">
        <f t="shared" si="8"/>
        <v>101</v>
      </c>
      <c r="AK19" s="819">
        <f t="shared" si="8"/>
        <v>147</v>
      </c>
      <c r="AL19" s="819">
        <f t="shared" si="8"/>
        <v>0</v>
      </c>
      <c r="AM19" s="832">
        <f t="shared" si="8"/>
        <v>0</v>
      </c>
      <c r="AN19" s="822">
        <f>IF(ISNUMBER(Datos!K19/Datos!J19),Datos!K19/Datos!J19," - ")</f>
        <v>1.3983050847457628</v>
      </c>
      <c r="AO19" s="822">
        <f>IF(ISNUMBER(FIND("06",Criterios!A8,1)),(IF(ISNUMBER(((Datos!R19/Datos!Q19)*11)/factor_trimestre),((Datos!R19/Datos!Q19)*11)/factor_trimestre," - ")),(IF(ISNUMBER(((Datos!L19/Datos!K19)*11)/factor_trimestre),((Datos!L19/Datos!K19)*11)/factor_trimestre," - ")))</f>
        <v>9.3333333333333339</v>
      </c>
      <c r="AP19" s="833" t="str">
        <f>IF(ISNUMBER(Datos!CI19/Datos!CJ19),Datos!CI19/Datos!CJ19," - ")</f>
        <v xml:space="preserve"> - </v>
      </c>
      <c r="AQ19" s="833">
        <f>IF(OR(ISNUMBER(FIND("01",Criterios!A8,1)),ISNUMBER(FIND("02",Criterios!A8,1)),ISNUMBER(FIND("03",Criterios!A8,1)),ISNUMBER(FIND("04",Criterios!A8,1))),(J19-Y19+K19)/(F19-K19),(I19-Y19+K19)/(F19-K19))</f>
        <v>-0.27205882352941174</v>
      </c>
      <c r="AR19" s="833">
        <f>IF(ISNUMBER((Datos!P19-Datos!Q19+O19)/(Datos!R19-Datos!P19+Datos!Q19-O19)),(Datos!P19-Datos!Q19+O19)/(Datos!R19-Datos!P19+Datos!Q19-O19)," - ")</f>
        <v>3.7071362372567189E-2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312.92384590077717</v>
      </c>
      <c r="G21" s="551">
        <f>IF(ISNUMBER(STDEV(G8:G18)),STDEV(G8:G18),"-")</f>
        <v>300.02466565267599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28.232369129541123</v>
      </c>
      <c r="AK21" s="251"/>
      <c r="AL21" s="251">
        <f>IF(ISNUMBER(STDEV(AL8:AL18)),STDEV(AL8:AL18),"-")</f>
        <v>0</v>
      </c>
      <c r="AM21" s="253">
        <f>IF(ISNUMBER(STDEV(AM8:AM18)),STDEV(AM8:AM18),"-")</f>
        <v>0</v>
      </c>
      <c r="AN21" s="538">
        <f>IF(ISNUMBER(STDEV(AN8:AN18)),STDEV(AN8:AN18),"-")</f>
        <v>0</v>
      </c>
      <c r="AO21" s="539">
        <f>IF(ISNUMBER(STDEV(AO8:AO18)),STDEV(AO8:AO18),"-")</f>
        <v>1.7878133212177751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jdL53NSdLxIUCt5LIJ4ARA+4EIkc1foCqw+d7KoIKQTxOPNU4Knsk1dfbs+XPSDrOcUkHffNYLZPV5KYCrfLjw==" saltValue="Zp6jDctMXyT6PtUq5J/e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uj5RrUXNLhHxoX4OgEBsTys2k07nA1Tda14qr0XF4nAIlrE1TN/O4UkwqbplGNMOPNYIsAazxpqqDM2A7Cedw==" saltValue="1+HubvKBfjmS3HhkBgSr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n94YLukZwXwF+GE7petUi7yHr2FBJ5JRiOchK9G+VJ4dQ+SHU/qhN+hYbVRRCZycPAOeniKbJNGb9U+btVKHw==" saltValue="9ZfI9t7MfNDEb9baM0LjO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VILLAFRANCA DE LOS BARROS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0.3439153439153439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0.24318487183664331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x3T9cP4vQVLrKBucadcI4rQzn1QATAqN0w9ZF9FOvzFFKLgBK08y0u9oowKmVC9h1eopCy18HnKZBB8e+xjsg==" saltValue="8fA+S3qEPThElmPKfgQR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ssdailx11qYkilKxaLzPbW6JsT83SkINdqZr4BfQY4BeviHQ3OB84M6oTyjZ1+Oc4xESuiFCSnHBzmZSuNZtw==" saltValue="ILyXSKslUHlT5muGsRZf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VILLAFRANCA DE LOS BARROS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1072</v>
      </c>
      <c r="D12" s="403">
        <f>IF(ISNUMBER(C12/Datos!BH12),C12/Datos!BH12," - ")</f>
        <v>1072</v>
      </c>
      <c r="E12" s="402">
        <f>IF(ISNUMBER(IF(J_V="SI",Datos!J12,Datos!J12+Datos!Z12)),IF(J_V="SI",Datos!J12,Datos!J12+Datos!Z12)," - ")</f>
        <v>123</v>
      </c>
      <c r="F12" s="403">
        <f>IF(ISNUMBER(E12/B12),E12/B12," - ")</f>
        <v>123</v>
      </c>
      <c r="G12" s="402">
        <f>IF(ISNUMBER(IF(J_V="SI",Datos!K12,Datos!K12+Datos!AA12)),IF(J_V="SI",Datos!K12,Datos!K12+Datos!AA12)," - ")</f>
        <v>189</v>
      </c>
      <c r="H12" s="403">
        <f>IF(ISNUMBER(G12/B12),G12/B12," - ")</f>
        <v>189</v>
      </c>
      <c r="I12" s="402">
        <f>IF(ISNUMBER(IF(J_V="SI",Datos!L12,Datos!L12+Datos!AB12)),IF(J_V="SI",Datos!L12,Datos!L12+Datos!AB12)," - ")</f>
        <v>1023</v>
      </c>
      <c r="J12" s="403">
        <f>IF(ISNUMBER(I12/B12),I12/B12," - ")</f>
        <v>1023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1073</v>
      </c>
      <c r="D13" s="849" t="str">
        <f>IF(ISNUMBER(C13/Datos!BI13),C13/Datos!BI13," - ")</f>
        <v xml:space="preserve"> - </v>
      </c>
      <c r="E13" s="848">
        <f>SUBTOTAL(9,E8:E12)</f>
        <v>123</v>
      </c>
      <c r="F13" s="849">
        <f>IF(ISNUMBER(E13/B13),E13/B13," - ")</f>
        <v>123</v>
      </c>
      <c r="G13" s="848">
        <f>SUBTOTAL(9,G8:G12)</f>
        <v>189</v>
      </c>
      <c r="H13" s="849">
        <f>IF(ISNUMBER(G13/B13),G13/B13," - ")</f>
        <v>189</v>
      </c>
      <c r="I13" s="848">
        <f>SUBTOTAL(9,I8:I12)</f>
        <v>1024</v>
      </c>
      <c r="J13" s="849">
        <f>IF(ISNUMBER(I13/B13),I13/B13," - ")</f>
        <v>1024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542</v>
      </c>
      <c r="D16" s="403">
        <f>IF(ISNUMBER(C16/Datos!BH16),C16/Datos!BH16," - ")</f>
        <v>542</v>
      </c>
      <c r="E16" s="402">
        <f>IF(ISNUMBER(IF(D_I="SI",Datos!J16,Datos!J16+Datos!AD16)),IF(D_I="SI",Datos!J16,Datos!J16+Datos!AD16)," - ")</f>
        <v>105</v>
      </c>
      <c r="F16" s="403">
        <f>IF(ISNUMBER(E16/B16),E16/B16," - ")</f>
        <v>105</v>
      </c>
      <c r="G16" s="402">
        <f>IF(ISNUMBER(IF(D_I="SI",Datos!K16,Datos!K16+Datos!AE16)),IF(D_I="SI",Datos!K16,Datos!K16+Datos!AE16)," - ")</f>
        <v>140</v>
      </c>
      <c r="H16" s="403">
        <f>IF(ISNUMBER(G16/B16),G16/B16," - ")</f>
        <v>140</v>
      </c>
      <c r="I16" s="402">
        <f>IF(ISNUMBER(IF(D_I="SI",Datos!L16,Datos!L16+Datos!AF16)),IF(D_I="SI",Datos!L16,Datos!L16+Datos!AF16)," - ")</f>
        <v>508</v>
      </c>
      <c r="J16" s="403">
        <f>IF(ISNUMBER(I16/B16),I16/B16," - ")</f>
        <v>508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v>
      </c>
      <c r="D17" s="403">
        <f>IF(ISNUMBER(C17/Datos!BH17),C17/Datos!BH17," - ")</f>
        <v>33</v>
      </c>
      <c r="E17" s="402">
        <f>IF(ISNUMBER(IF(D_I="SI",Datos!J17,Datos!J17+Datos!AD17)),IF(D_I="SI",Datos!J17,Datos!J17+Datos!AD17)," - ")</f>
        <v>9</v>
      </c>
      <c r="F17" s="403">
        <f>IF(ISNUMBER(E17/B17),E17/B17," - ")</f>
        <v>9</v>
      </c>
      <c r="G17" s="402">
        <f>IF(ISNUMBER(IF(D_I="SI",Datos!K17,Datos!K17+Datos!AE17)),IF(D_I="SI",Datos!K17,Datos!K17+Datos!AE17)," - ")</f>
        <v>8</v>
      </c>
      <c r="H17" s="403">
        <f>IF(ISNUMBER(G17/B17),G17/B17," - ")</f>
        <v>8</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575</v>
      </c>
      <c r="D18" s="849" t="str">
        <f>IF(ISNUMBER(C18/Datos!BI18),C18/Datos!BI18," - ")</f>
        <v xml:space="preserve"> - </v>
      </c>
      <c r="E18" s="848">
        <f>SUBTOTAL(9,E14:E17)</f>
        <v>114</v>
      </c>
      <c r="F18" s="849">
        <f>IF(ISNUMBER(E18/B18),E18/B18," - ")</f>
        <v>114</v>
      </c>
      <c r="G18" s="848">
        <f>SUBTOTAL(9,G14:G17)</f>
        <v>148</v>
      </c>
      <c r="H18" s="849">
        <f>IF(ISNUMBER(G18/B18),G18/B18," - ")</f>
        <v>148</v>
      </c>
      <c r="I18" s="848">
        <f>SUBTOTAL(9,I14:I17)</f>
        <v>542</v>
      </c>
      <c r="J18" s="849">
        <f>IF(ISNUMBER(I18/B18),I18/B18," - ")</f>
        <v>542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1648</v>
      </c>
      <c r="D19" s="794" t="str">
        <f>IF(ISNUMBER(C19/Datos!BI19),C19/Datos!BI19," - ")</f>
        <v xml:space="preserve"> - </v>
      </c>
      <c r="E19" s="793">
        <f>SUBTOTAL(9,E9:E18)</f>
        <v>237</v>
      </c>
      <c r="F19" s="794">
        <f>IF(ISNUMBER(E19/B19),E19/B19," - ")</f>
        <v>237</v>
      </c>
      <c r="G19" s="793">
        <f>SUBTOTAL(9,G9:G18)</f>
        <v>337</v>
      </c>
      <c r="H19" s="794">
        <f>IF(ISNUMBER(G19/B19),G19/B19," - ")</f>
        <v>337</v>
      </c>
      <c r="I19" s="793">
        <f>SUBTOTAL(9,I9:I18)</f>
        <v>1566</v>
      </c>
      <c r="J19" s="794">
        <f>IF(ISNUMBER(I19/B19),I19/B19," - ")</f>
        <v>1566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EpL7x7LYBJtQ/f7y5vRG7vBc7zSGUgTj4Srb2wJc4VfZ0zbmRrbpnv5//Vwmc5rnEcxlE/UB47xODQCMRYlaw==" saltValue="BkiQB7larIDwi1Evz69C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VILLAFRANCA DE LOS BARROS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65</v>
      </c>
      <c r="AM12" s="689">
        <f>IF(ISNUMBER(Datos!N12+DatosP!N16),Datos!N12+DatosP!N16," - ")</f>
        <v>76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10.825396825396826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3.4285714285714287E-2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70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34</v>
      </c>
      <c r="AE13" s="938">
        <f t="shared" si="1"/>
        <v>0</v>
      </c>
      <c r="AF13" s="938">
        <f t="shared" si="1"/>
        <v>1</v>
      </c>
      <c r="AG13" s="938">
        <f t="shared" si="1"/>
        <v>0</v>
      </c>
      <c r="AH13" s="938">
        <f t="shared" si="1"/>
        <v>1086</v>
      </c>
      <c r="AI13" s="938">
        <f t="shared" si="1"/>
        <v>0</v>
      </c>
      <c r="AJ13" s="938">
        <f t="shared" si="1"/>
        <v>0</v>
      </c>
      <c r="AK13" s="938">
        <f t="shared" si="1"/>
        <v>0</v>
      </c>
      <c r="AL13" s="938">
        <f t="shared" si="1"/>
        <v>65</v>
      </c>
      <c r="AM13" s="938">
        <f t="shared" si="1"/>
        <v>76</v>
      </c>
      <c r="AN13" s="938">
        <f t="shared" si="1"/>
        <v>0</v>
      </c>
      <c r="AO13" s="938">
        <f t="shared" si="1"/>
        <v>0</v>
      </c>
      <c r="AP13" s="943">
        <f>IF(ISNUMBER(((Datos!L13/Datos!K13)*11)/factor_trimestre),((Datos!L13/Datos!K13)*11)/factor_trimestre," - ")</f>
        <v>10.967032967032967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3.4285714285714287E-2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7.3243243243243237</v>
      </c>
      <c r="AQ18" s="943">
        <f>IF(ISNUMBER(((Datos!M18/Datos!L18)*11)/factor_trimestre),((Datos!M18/Datos!L18)*11)/factor_trimestre," - ")</f>
        <v>0.13284132841328414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0.13793103448275862</v>
      </c>
      <c r="AW18" s="945">
        <f>IF(ISNUMBER((Datos!Q18-Datos!R18)/(Datos!S18-Datos!Q18+Datos!R18)),(Datos!Q18-Datos!R18)/(Datos!S18-Datos!Q18+Datos!R18)," - ")</f>
        <v>-5.2364864864864864E-2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70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34</v>
      </c>
      <c r="AE19" s="956">
        <f t="shared" si="5"/>
        <v>0</v>
      </c>
      <c r="AF19" s="957">
        <f t="shared" si="5"/>
        <v>1</v>
      </c>
      <c r="AG19" s="957">
        <f t="shared" si="5"/>
        <v>0</v>
      </c>
      <c r="AH19" s="957">
        <f t="shared" si="5"/>
        <v>1086</v>
      </c>
      <c r="AI19" s="957">
        <f t="shared" si="5"/>
        <v>0</v>
      </c>
      <c r="AJ19" s="958">
        <f t="shared" si="5"/>
        <v>0</v>
      </c>
      <c r="AK19" s="958">
        <f t="shared" si="5"/>
        <v>0</v>
      </c>
      <c r="AL19" s="950">
        <f t="shared" si="5"/>
        <v>65</v>
      </c>
      <c r="AM19" s="950">
        <f t="shared" si="5"/>
        <v>76</v>
      </c>
      <c r="AN19" s="950">
        <f t="shared" si="5"/>
        <v>0</v>
      </c>
      <c r="AO19" s="950">
        <f t="shared" si="5"/>
        <v>0</v>
      </c>
      <c r="AP19" s="950">
        <f>IF(ISNUMBER(((Datos!L19/Datos!K19)*11)/factor_trimestre),((Datos!L19/Datos!K19)*11)/factor_trimestre," - ")</f>
        <v>9.3333333333333339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3.7071362372567189E-2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37.527767497325677</v>
      </c>
      <c r="AM21" s="735"/>
      <c r="AN21" s="735">
        <f>IF(ISNUMBER(STDEV(AN8:AN18)),STDEV(AN8:AN18),"-")</f>
        <v>0</v>
      </c>
      <c r="AO21" s="741">
        <f>IF(ISNUMBER(STDEV(AO8:AO18)),STDEV(AO8:AO18),"-")</f>
        <v>0</v>
      </c>
      <c r="AP21" s="778">
        <f>IF(ISNUMBER(STDEV(AP8:AP18)),STDEV(AP8:AP18),"-")</f>
        <v>2.063447588787918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XquU9M5Bc4prK5sNQuSmVTSGogdRnQw0micNPapMCgJBAsXPx1ZE/EHyC6F8tB2ENpEdaJF7RX0IryH72ap0w==" saltValue="2v15c1xEYwRcxpFuqRC5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VILLAFRANCA DE LOS BARROS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GQDMiwTf3DMrOdkCJMD6+iBHowcr8X4wbXnbOGjx2VyujOOT72q5xsOSfzT/dW6R5qcBtBHPwinf2m//SOYsg==" saltValue="C+G6HWJg/VT2TX5h6O6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VILLAFRANCA DE LOS BARROS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65</v>
      </c>
      <c r="E12" s="403">
        <f t="shared" si="0"/>
        <v>65</v>
      </c>
      <c r="F12" s="402">
        <f>IF(ISNUMBER(Datos!N12),Datos!N12," - ")</f>
        <v>76</v>
      </c>
      <c r="G12" s="403">
        <f t="shared" si="1"/>
        <v>76</v>
      </c>
      <c r="H12" s="402">
        <f>IF(ISNUMBER(Datos!O12),Datos!O12," - ")</f>
        <v>87</v>
      </c>
      <c r="I12" s="403">
        <f t="shared" si="2"/>
        <v>87</v>
      </c>
      <c r="BZ12" s="1185">
        <f>Datos!EZ12</f>
        <v>0</v>
      </c>
    </row>
    <row r="13" spans="1:78" ht="14.25" thickTop="1" thickBot="1">
      <c r="A13" s="847" t="str">
        <f>Datos!A13</f>
        <v>TOTAL</v>
      </c>
      <c r="B13" s="848">
        <f>Datos!AP13</f>
        <v>1</v>
      </c>
      <c r="C13" s="850">
        <f>Datos!AR13</f>
        <v>1</v>
      </c>
      <c r="D13" s="848">
        <f>SUBTOTAL(9,D9:D12)</f>
        <v>65</v>
      </c>
      <c r="E13" s="849">
        <f t="shared" si="0"/>
        <v>65</v>
      </c>
      <c r="F13" s="848">
        <f>SUBTOTAL(9,F9:F12)</f>
        <v>76</v>
      </c>
      <c r="G13" s="849">
        <f t="shared" si="1"/>
        <v>76</v>
      </c>
      <c r="H13" s="848">
        <f>SUBTOTAL(9,H9:H12)</f>
        <v>87</v>
      </c>
      <c r="I13" s="849">
        <f>IF(ISNUMBER(H13/B13),H13/B13," - ")</f>
        <v>87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32</v>
      </c>
      <c r="E16" s="403">
        <f t="shared" si="3"/>
        <v>32</v>
      </c>
      <c r="F16" s="402">
        <f>IF(ISNUMBER(Datos!N16),Datos!N16," - ")</f>
        <v>68</v>
      </c>
      <c r="G16" s="403">
        <f t="shared" si="4"/>
        <v>68</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36</v>
      </c>
      <c r="E18" s="849">
        <f t="shared" si="3"/>
        <v>36</v>
      </c>
      <c r="F18" s="848">
        <f>SUBTOTAL(9,F15:F17)</f>
        <v>71</v>
      </c>
      <c r="G18" s="849">
        <f t="shared" si="4"/>
        <v>71</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101</v>
      </c>
      <c r="E19" s="794">
        <f>IF(ISNUMBER(D19/B19),D19/B19," - ")</f>
        <v>101</v>
      </c>
      <c r="F19" s="793">
        <f>SUBTOTAL(9,F8:F18)</f>
        <v>147</v>
      </c>
      <c r="G19" s="794">
        <f>IF(ISNUMBER(F19/B19),F19/B19," - ")</f>
        <v>147</v>
      </c>
      <c r="H19" s="793">
        <f>SUBTOTAL(9,H8:H18)</f>
        <v>89</v>
      </c>
      <c r="I19" s="794">
        <f>IF(ISNUMBER(H19/B19),H19/B19," - ")</f>
        <v>89</v>
      </c>
    </row>
    <row r="22" spans="1:78">
      <c r="A22" s="390" t="str">
        <f>Criterios!A4</f>
        <v>Fecha Informe: 09 dic. 2025</v>
      </c>
    </row>
    <row r="27" spans="1:78">
      <c r="A27" s="413"/>
    </row>
  </sheetData>
  <sheetProtection algorithmName="SHA-512" hashValue="NDEcnSsZqtRggAM+EzlBj19RboTIMgXY866IpZiSEKdf663EWKiXEes/mTPYQCEbYCZs8wTpxOsq54p2QpCMBw==" saltValue="1ifYiINrrXe7qPvvut+W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VILLAFRANCA DE LOS BARROS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70</v>
      </c>
      <c r="C12" s="433">
        <f>IF(ISNUMBER(Datos!Q12),Datos!Q12," - ")</f>
        <v>34</v>
      </c>
      <c r="D12" s="407">
        <f>IF(ISNUMBER(Datos!R12),Datos!R12," - ")</f>
        <v>1086</v>
      </c>
    </row>
    <row r="13" spans="1:4" ht="14.25" thickTop="1" thickBot="1">
      <c r="A13" s="847" t="str">
        <f>Datos!A13</f>
        <v>TOTAL</v>
      </c>
      <c r="B13" s="848">
        <f>SUBTOTAL(9,B9:B12)</f>
        <v>70</v>
      </c>
      <c r="C13" s="852">
        <f>SUBTOTAL(9,C9:C12)</f>
        <v>34</v>
      </c>
      <c r="D13" s="850">
        <f>SUBTOTAL(9,D9:D12)</f>
        <v>1086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2</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2</v>
      </c>
      <c r="D18" s="850">
        <f>SUBTOTAL(9,D15:D17)</f>
        <v>33</v>
      </c>
    </row>
    <row r="19" spans="1:4" ht="16.5" customHeight="1" thickTop="1" thickBot="1">
      <c r="A19" s="792" t="str">
        <f>Datos!A19</f>
        <v>TOTAL JURISDICCIONES</v>
      </c>
      <c r="B19" s="797">
        <f>SUBTOTAL(9,B8:B18)</f>
        <v>76</v>
      </c>
      <c r="C19" s="798">
        <f>SUBTOTAL(9,C8:C18)</f>
        <v>36</v>
      </c>
      <c r="D19" s="799">
        <f>SUBTOTAL(9,D8:D18)</f>
        <v>1119</v>
      </c>
    </row>
    <row r="20" spans="1:4" ht="7.5" customHeight="1"/>
    <row r="21" spans="1:4" ht="6" customHeight="1"/>
    <row r="22" spans="1:4">
      <c r="A22" s="390" t="str">
        <f>Criterios!A4</f>
        <v>Fecha Informe: 09 dic. 2025</v>
      </c>
    </row>
    <row r="27" spans="1:4">
      <c r="A27" s="413"/>
    </row>
  </sheetData>
  <sheetProtection algorithmName="SHA-512" hashValue="vMsRz4V2UI8lMEk7U0oN6UMsfwyFwS2ON+xZAZ5Kpi+roap5nByapaK0ZCSghbx5LKMSoEO/V073BWMRTV528w==" saltValue="u9tKDf7qPaV2zNNYlUO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VILLAFRANCA DE LOS BARROS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-8.9209855564995749E-2</v>
      </c>
      <c r="C12" s="455">
        <f>IF(ISNUMBER(
   IF(J_V="SI",(Datos!J12-Datos!T12)/Datos!T12,(Datos!J12+Datos!Z12-(Datos!T12+Datos!AH12))/(Datos!T12+Datos!AH12))
     ),IF(J_V="SI",(Datos!J12-Datos!T12)/Datos!T12,(Datos!J12+Datos!Z12-(Datos!T12+Datos!AH12))/(Datos!T12+Datos!AH12))," - ")</f>
        <v>-0.58163265306122447</v>
      </c>
      <c r="D12" s="455">
        <f>IF(ISNUMBER(
   IF(J_V="SI",(Datos!K12-Datos!U12)/Datos!U12,(Datos!K12+Datos!AA12-(Datos!U12+Datos!AI12))/(Datos!U12+Datos!AI12))
     ),IF(J_V="SI",(Datos!K12-Datos!U12)/Datos!U12,(Datos!K12+Datos!AA12-(Datos!U12+Datos!AI12))/(Datos!U12+Datos!AI12))," - ")</f>
        <v>-0.29477611940298509</v>
      </c>
      <c r="E12" s="455">
        <f>IF(ISNUMBER(
   IF(J_V="SI",(Datos!L12-Datos!V12)/Datos!V12,(Datos!L12+Datos!AB12-(Datos!V12+Datos!AJ12))/(Datos!V12+Datos!AJ12))
     ),IF(J_V="SI",(Datos!L12-Datos!V12)/Datos!V12,(Datos!L12+Datos!AB12-(Datos!V12+Datos!AJ12))/(Datos!V12+Datos!AJ12))," - ")</f>
        <v>-0.14962593516209477</v>
      </c>
      <c r="F12" s="455">
        <f>IF(ISNUMBER((Datos!M12-Datos!W12)/Datos!W12),(Datos!M12-Datos!W12)/Datos!W12," - ")</f>
        <v>0.35416666666666669</v>
      </c>
      <c r="G12" s="456">
        <f>IF(ISNUMBER((Datos!N12-Datos!X12)/Datos!X12),(Datos!N12-Datos!X12)/Datos!X12," - ")</f>
        <v>-0.50326797385620914</v>
      </c>
      <c r="H12" s="454">
        <f>IF(ISNUMBER(((NºAsuntos!G12/NºAsuntos!E12)-Datos!BD12)/Datos!BD12),((NºAsuntos!G12/NºAsuntos!E12)-Datos!BD12)/Datos!BD12," - ")</f>
        <v>0.6856570804514015</v>
      </c>
      <c r="I12" s="455">
        <f>IF(ISNUMBER(((NºAsuntos!I12/NºAsuntos!G12)-Datos!BE12)/Datos!BE12),((NºAsuntos!I12/NºAsuntos!G12)-Datos!BE12)/Datos!BE12," - ")</f>
        <v>0.20582142527279695</v>
      </c>
      <c r="J12" s="460">
        <f>IF(ISNUMBER((('Resol  Asuntos'!D12/NºAsuntos!G12)-Datos!BF12)/Datos!BF12),(('Resol  Asuntos'!D12/NºAsuntos!G12)-Datos!BF12)/Datos!BF12," - ")</f>
        <v>-0.39758619497181596</v>
      </c>
      <c r="K12" s="461">
        <f>IF(ISNUMBER((((NºAsuntos!C12+NºAsuntos!E12)/NºAsuntos!G12)-Datos!BG12)/Datos!BG12),(((NºAsuntos!C12+NºAsuntos!E12)/NºAsuntos!G12)-Datos!BG12)/Datos!BG12," - ")</f>
        <v>0.1519356590736605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-8.8360237892948168E-2</v>
      </c>
      <c r="C13" s="854">
        <f>IF(ISNUMBER(
   IF(J_V="SI",(Datos!J13-Datos!T13)/Datos!T13,(Datos!J13+Datos!Z13-(Datos!T13+Datos!AH13))/(Datos!T13+Datos!AH13))
     ),IF(J_V="SI",(Datos!J13-Datos!T13)/Datos!T13,(Datos!J13+Datos!Z13-(Datos!T13+Datos!AH13))/(Datos!T13+Datos!AH13))," - ")</f>
        <v>-0.58163265306122447</v>
      </c>
      <c r="D13" s="854">
        <f>IF(ISNUMBER(
   IF(J_V="SI",(Datos!K13-Datos!U13)/Datos!U13,(Datos!K13+Datos!AA13-(Datos!U13+Datos!AI13))/(Datos!U13+Datos!AI13))
     ),IF(J_V="SI",(Datos!K13-Datos!U13)/Datos!U13,(Datos!K13+Datos!AA13-(Datos!U13+Datos!AI13))/(Datos!U13+Datos!AI13))," - ")</f>
        <v>-0.29477611940298509</v>
      </c>
      <c r="E13" s="854">
        <f>IF(ISNUMBER(
   IF(J_V="SI",(Datos!L13-Datos!V13)/Datos!V13,(Datos!L13+Datos!AB13-(Datos!V13+Datos!AJ13))/(Datos!V13+Datos!AJ13))
     ),IF(J_V="SI",(Datos!L13-Datos!V13)/Datos!V13,(Datos!L13+Datos!AB13-(Datos!V13+Datos!AJ13))/(Datos!V13+Datos!AJ13))," - ")</f>
        <v>-0.1487946799667498</v>
      </c>
      <c r="F13" s="855">
        <f>IF(ISNUMBER((Datos!M13-Datos!W13)/Datos!W13),(Datos!M13-Datos!W13)/Datos!W13," - ")</f>
        <v>0.35416666666666669</v>
      </c>
      <c r="G13" s="856">
        <f>IF(ISNUMBER((Datos!N13-Datos!X13)/Datos!X13),(Datos!N13-Datos!X13)/Datos!X13," - ")</f>
        <v>-0.50326797385620914</v>
      </c>
      <c r="H13" s="856">
        <f>IF(ISNUMBER(((NºAsuntos!G13/NºAsuntos!E13)-Datos!BD13)/Datos!BD13),((NºAsuntos!G13/NºAsuntos!E13)-Datos!BD13)/Datos!BD13," - ")</f>
        <v>0.6856570804514015</v>
      </c>
      <c r="I13" s="856">
        <f>IF(ISNUMBER(((NºAsuntos!I13/NºAsuntos!G13)-Datos!BE13)/Datos!BE13),((NºAsuntos!I13/NºAsuntos!G13)-Datos!BE13)/Datos!BE13," - ")</f>
        <v>0.20700013634344472</v>
      </c>
      <c r="J13" s="856">
        <f>IF(ISNUMBER((('Resol  Asuntos'!D13/NºAsuntos!G13)-Datos!BF13)/Datos!BF13),(('Resol  Asuntos'!D13/NºAsuntos!G13)-Datos!BF13)/Datos!BF13," - ")</f>
        <v>-0.39758619497181596</v>
      </c>
      <c r="K13" s="856">
        <f>IF(ISNUMBER((((NºAsuntos!C13+NºAsuntos!E13)/NºAsuntos!G13)-Datos!BG13)/Datos!BG13),(((NºAsuntos!C13+NºAsuntos!E13)/NºAsuntos!G13)-Datos!BG13)/Datos!BG13," - ")</f>
        <v>0.15289962196828286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3.2380952380952378E-2</v>
      </c>
      <c r="C16" s="455">
        <f>IF(ISNUMBER(
   IF(D_I="SI",(Datos!J16-Datos!T16)/Datos!T16,(Datos!J16+Datos!AD16-(Datos!T16+Datos!AL16))/(Datos!T16+Datos!AL16))
     ),IF(D_I="SI",(Datos!J16-Datos!T16)/Datos!T16,(Datos!J16+Datos!AD16-(Datos!T16+Datos!AL16))/(Datos!T16+Datos!AL16))," - ")</f>
        <v>-0.32258064516129031</v>
      </c>
      <c r="D16" s="455">
        <f>IF(ISNUMBER(
   IF(D_I="SI",(Datos!K16-Datos!U16)/Datos!U16,(Datos!K16+Datos!AE16-(Datos!U16+Datos!AM16))/(Datos!U16+Datos!AM16))
     ),IF(D_I="SI",(Datos!K16-Datos!U16)/Datos!U16,(Datos!K16+Datos!AE16-(Datos!U16+Datos!AM16))/(Datos!U16+Datos!AM16))," - ")</f>
        <v>-4.1095890410958902E-2</v>
      </c>
      <c r="E16" s="455">
        <f>IF(ISNUMBER(
   IF(D_I="SI",(Datos!L16-Datos!V16)/Datos!V16,(Datos!L16+Datos!AF16-(Datos!V16+Datos!AN16))/(Datos!V16+Datos!AN16))
     ),IF(D_I="SI",(Datos!L16-Datos!V16)/Datos!V16,(Datos!L16+Datos!AF16-(Datos!V16+Datos!AN16))/(Datos!V16+Datos!AN16))," - ")</f>
        <v>-5.046728971962617E-2</v>
      </c>
      <c r="F16" s="455">
        <f>IF(ISNUMBER((Datos!M16-Datos!W16)/Datos!W16),(Datos!M16-Datos!W16)/Datos!W16," - ")</f>
        <v>1</v>
      </c>
      <c r="G16" s="456">
        <f>IF(ISNUMBER((Datos!N16-Datos!X16)/Datos!X16),(Datos!N16-Datos!X16)/Datos!X16," - ")</f>
        <v>-0.13924050632911392</v>
      </c>
      <c r="H16" s="454">
        <f>IF(ISNUMBER(((NºAsuntos!G16/NºAsuntos!E16)-Datos!BD16)/Datos!BD16),((NºAsuntos!G16/NºAsuntos!E16)-Datos!BD16)/Datos!BD16," - ")</f>
        <v>0.41552511415525112</v>
      </c>
      <c r="I16" s="455">
        <f>IF(ISNUMBER(((NºAsuntos!I16/NºAsuntos!G16)-Datos!BE16)/Datos!BE16),((NºAsuntos!I16/NºAsuntos!G16)-Datos!BE16)/Datos!BE16," - ")</f>
        <v>-9.7730307076102085E-3</v>
      </c>
      <c r="J16" s="460">
        <f>IF(ISNUMBER((('Resol  Asuntos'!D16/NºAsuntos!G16)-Datos!BF16)/Datos!BF16),(('Resol  Asuntos'!D16/NºAsuntos!G16)-Datos!BF16)/Datos!BF16," - ")</f>
        <v>1.0857142857142859</v>
      </c>
      <c r="K16" s="461">
        <f>IF(ISNUMBER((((NºAsuntos!C16+NºAsuntos!E16)/NºAsuntos!G16)-Datos!BG16)/Datos!BG16),(((NºAsuntos!C16+NºAsuntos!E16)/NºAsuntos!G16)-Datos!BG16)/Datos!BG16," - ")</f>
        <v>-7.7521008403362195E-3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-8.3333333333333329E-2</v>
      </c>
      <c r="C17" s="455">
        <f>IF(ISNUMBER(
   IF(D_I="SI",(Datos!J17-Datos!T17)/Datos!T17,(Datos!J17+Datos!AD17-(Datos!T17+Datos!AL17))/(Datos!T17+Datos!AL17))
     ),IF(D_I="SI",(Datos!J17-Datos!T17)/Datos!T17,(Datos!J17+Datos!AD17-(Datos!T17+Datos!AL17))/(Datos!T17+Datos!AL17))," - ")</f>
        <v>-0.1</v>
      </c>
      <c r="D17" s="455">
        <f>IF(ISNUMBER(
   IF(D_I="SI",(Datos!K17-Datos!U17)/Datos!U17,(Datos!K17+Datos!AE17-(Datos!U17+Datos!AM17))/(Datos!U17+Datos!AM17))
     ),IF(D_I="SI",(Datos!K17-Datos!U17)/Datos!U17,(Datos!K17+Datos!AE17-(Datos!U17+Datos!AM17))/(Datos!U17+Datos!AM17))," - ")</f>
        <v>-0.2</v>
      </c>
      <c r="E17" s="455">
        <f>IF(ISNUMBER(
   IF(D_I="SI",(Datos!L17-Datos!V17)/Datos!V17,(Datos!L17+Datos!AF17-(Datos!V17+Datos!AN17))/(Datos!V17+Datos!AN17))
     ),IF(D_I="SI",(Datos!L17-Datos!V17)/Datos!V17,(Datos!L17+Datos!AF17-(Datos!V17+Datos!AN17))/(Datos!V17+Datos!AN17))," - ")</f>
        <v>-5.5555555555555552E-2</v>
      </c>
      <c r="F17" s="455" t="str">
        <f>IF(ISNUMBER((Datos!M17-Datos!W17)/Datos!W17),(Datos!M17-Datos!W17)/Datos!W17," - ")</f>
        <v xml:space="preserve"> - </v>
      </c>
      <c r="G17" s="456">
        <f>IF(ISNUMBER((Datos!N17-Datos!X17)/Datos!X17),(Datos!N17-Datos!X17)/Datos!X17," - ")</f>
        <v>-0.7</v>
      </c>
      <c r="H17" s="454">
        <f>IF(ISNUMBER(((NºAsuntos!G17/NºAsuntos!E17)-Datos!BD17)/Datos!BD17),((NºAsuntos!G17/NºAsuntos!E17)-Datos!BD17)/Datos!BD17," - ")</f>
        <v>-0.11111111111111116</v>
      </c>
      <c r="I17" s="455">
        <f>IF(ISNUMBER(((NºAsuntos!I17/NºAsuntos!G17)-Datos!BE17)/Datos!BE17),((NºAsuntos!I17/NºAsuntos!G17)-Datos!BE17)/Datos!BE17," - ")</f>
        <v>0.18055555555555552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0.14130434782608706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2.4955436720142603E-2</v>
      </c>
      <c r="C18" s="854">
        <f>IF(ISNUMBER(
   IF(Criterios!B14="SI",(Datos!J18-Datos!T18)/Datos!T18,(Datos!J18+Datos!AD18-(Datos!T18+Datos!AL18))/(Datos!T18+Datos!AL18))
     ),IF(Criterios!B14="SI",(Datos!J18-Datos!T18)/Datos!T18,(Datos!J18+Datos!AD18-(Datos!T18+Datos!AL18))/(Datos!T18+Datos!AL18))," - ")</f>
        <v>-0.30909090909090908</v>
      </c>
      <c r="D18" s="854">
        <f>IF(ISNUMBER(
   IF(Criterios!B14="SI",(Datos!K18-Datos!U18)/Datos!U18,(Datos!K18+Datos!AE18-(Datos!U18+Datos!AM18))/(Datos!U18+Datos!AM18))
     ),IF(Criterios!B14="SI",(Datos!K18-Datos!U18)/Datos!U18,(Datos!K18+Datos!AE18-(Datos!U18+Datos!AM18))/(Datos!U18+Datos!AM18))," - ")</f>
        <v>-5.128205128205128E-2</v>
      </c>
      <c r="E18" s="854">
        <f>IF(ISNUMBER(
   IF(Criterios!B14="SI",(Datos!L18-Datos!V18)/Datos!V18,(Datos!L18+Datos!AF18-(Datos!V18+Datos!AN18))/(Datos!V18+Datos!AN18))
     ),IF(Criterios!B14="SI",(Datos!L18-Datos!V18)/Datos!V18,(Datos!L18+Datos!AF18-(Datos!V18+Datos!AN18))/(Datos!V18+Datos!AN18))," - ")</f>
        <v>-5.0788091068301226E-2</v>
      </c>
      <c r="F18" s="855">
        <f>IF(ISNUMBER((Datos!M18-Datos!W18)/Datos!W18),(Datos!M18-Datos!W18)/Datos!W18," - ")</f>
        <v>1.25</v>
      </c>
      <c r="G18" s="856">
        <f>IF(ISNUMBER((Datos!N18-Datos!X18)/Datos!X18),(Datos!N18-Datos!X18)/Datos!X18," - ")</f>
        <v>-0.20224719101123595</v>
      </c>
      <c r="H18" s="856">
        <f>IF(ISNUMBER(((NºAsuntos!G18/NºAsuntos!E18)-Datos!BD18)/Datos!BD18),((NºAsuntos!G18/NºAsuntos!E18)-Datos!BD18)/Datos!BD18," - ")</f>
        <v>0.37314439946018901</v>
      </c>
      <c r="I18" s="856">
        <f>IF(ISNUMBER(((NºAsuntos!I18/NºAsuntos!G18)-Datos!BE18)/Datos!BE18),((NºAsuntos!I18/NºAsuntos!G18)-Datos!BE18)/Datos!BE18," - ")</f>
        <v>5.206607658447208E-4</v>
      </c>
      <c r="J18" s="856">
        <f>IF(ISNUMBER((('Resol  Asuntos'!D18/NºAsuntos!G18)-Datos!BF18)/Datos!BF18),(('Resol  Asuntos'!D18/NºAsuntos!G18)-Datos!BF18)/Datos!BF18," - ")</f>
        <v>1.3716216216216219</v>
      </c>
      <c r="K18" s="856">
        <f>IF(ISNUMBER((((NºAsuntos!C18+NºAsuntos!E18)/NºAsuntos!G18)-Datos!BG18)/Datos!BG18),(((NºAsuntos!C18+NºAsuntos!E18)/NºAsuntos!G18)-Datos!BG18)/Datos!BG18," - ")</f>
        <v>3.3504578959113977E-4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-5.1783659378596088E-2</v>
      </c>
      <c r="C19" s="801">
        <f>IF(ISNUMBER(
   IF(J_V="SI",(Datos!J19-Datos!T19)/Datos!T19,(Datos!J19+Datos!Z19-(Datos!T19+Datos!AH19))/(Datos!T19+Datos!AH19))
     ),IF(J_V="SI",(Datos!J19-Datos!T19)/Datos!T19,(Datos!J19+Datos!Z19-(Datos!T19+Datos!AH19))/(Datos!T19+Datos!AH19))," - ")</f>
        <v>-0.48366013071895425</v>
      </c>
      <c r="D19" s="801">
        <f>IF(ISNUMBER(
   IF(J_V="SI",(Datos!K19-Datos!U19)/Datos!U19,(Datos!K19+Datos!AA19-(Datos!U19+Datos!AI19))/(Datos!U19+Datos!AI19))
     ),IF(J_V="SI",(Datos!K19-Datos!U19)/Datos!U19,(Datos!K19+Datos!AA19-(Datos!U19+Datos!AI19))/(Datos!U19+Datos!AI19))," - ")</f>
        <v>-0.20518867924528303</v>
      </c>
      <c r="E19" s="801">
        <f>IF(ISNUMBER(
   IF(J_V="SI",(Datos!L19-Datos!V19)/Datos!V19,(Datos!L19+Datos!AB19-(Datos!V19+Datos!AJ19))/(Datos!V19+Datos!AJ19))
     ),IF(J_V="SI",(Datos!L19-Datos!V19)/Datos!V19,(Datos!L19+Datos!AB19-(Datos!V19+Datos!AJ19))/(Datos!V19+Datos!AJ19))," - ")</f>
        <v>-0.11724915445321307</v>
      </c>
      <c r="F19" s="802">
        <f>IF(ISNUMBER((Datos!M19-Datos!W19)/Datos!W19),(Datos!M19-Datos!W19)/Datos!W19," - ")</f>
        <v>0.578125</v>
      </c>
      <c r="G19" s="803">
        <f>IF(ISNUMBER((Datos!N19-Datos!X19)/Datos!X19),(Datos!N19-Datos!X19)/Datos!X19," - ")</f>
        <v>-0.3925619834710744</v>
      </c>
      <c r="H19" s="804">
        <f>IF(ISNUMBER((Tasas!B19-Datos!BD19)/Datos!BD19),(Tasas!B19-Datos!BD19)/Datos!BD19," - ")</f>
        <v>0.53931812753761643</v>
      </c>
      <c r="I19" s="805">
        <f>IF(ISNUMBER((Tasas!C19-Datos!BE19)/Datos!BE19),(Tasas!C19-Datos!BE19)/Datos!BE19," - ")</f>
        <v>0.11064201338824246</v>
      </c>
      <c r="J19" s="806">
        <f>IF(ISNUMBER((Tasas!D19-Datos!BF19)/Datos!BF19),(Tasas!D19-Datos!BF19)/Datos!BF19," - ")</f>
        <v>-0.24808175161975657</v>
      </c>
      <c r="K19" s="806">
        <f>IF(ISNUMBER((Tasas!E19-Datos!BG19)/Datos!BG19),(Tasas!E19-Datos!BG19)/Datos!BG19," - ")</f>
        <v>7.9486594209260325E-2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jz5hwDvlZWXKMU0K3co8KRp17QAX/Z0UNdVkB4RIRPPHWDiTo8ZW61+VX1TY9sF/y+oiExk6FTaZ6JxzmcFFA==" saltValue="u2/G1fLhhE19lhBTiY/7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VILLAFRANCA DE LOS BARROS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1.5365853658536586</v>
      </c>
      <c r="C12" s="442">
        <f>IF(ISNUMBER(NºAsuntos!I12/NºAsuntos!G12),NºAsuntos!I12/NºAsuntos!G12," - ")</f>
        <v>5.412698412698413</v>
      </c>
      <c r="D12" s="443">
        <f>IF(ISNUMBER('Resol  Asuntos'!D12/NºAsuntos!G12),'Resol  Asuntos'!D12/NºAsuntos!G12," - ")</f>
        <v>0.3439153439153439</v>
      </c>
      <c r="E12" s="444">
        <f>IF(ISNUMBER((NºAsuntos!C12+NºAsuntos!E12)/NºAsuntos!G12),(NºAsuntos!C12+NºAsuntos!E12)/NºAsuntos!G12," - ")</f>
        <v>6.3227513227513228</v>
      </c>
      <c r="G12" s="462"/>
    </row>
    <row r="13" spans="1:7" ht="14.25" thickTop="1" thickBot="1">
      <c r="A13" s="847" t="str">
        <f>Datos!A13</f>
        <v>TOTAL</v>
      </c>
      <c r="B13" s="857">
        <f>IF(ISNUMBER(NºAsuntos!G13/NºAsuntos!E13),NºAsuntos!G13/NºAsuntos!E13," - ")</f>
        <v>1.5365853658536586</v>
      </c>
      <c r="C13" s="858">
        <f>IF(ISNUMBER(NºAsuntos!I13/NºAsuntos!G13),NºAsuntos!I13/NºAsuntos!G13," - ")</f>
        <v>5.4179894179894177</v>
      </c>
      <c r="D13" s="859">
        <f>IF(ISNUMBER('Resol  Asuntos'!D13/NºAsuntos!G13),'Resol  Asuntos'!D13/NºAsuntos!G13," - ")</f>
        <v>0.3439153439153439</v>
      </c>
      <c r="E13" s="860">
        <f>IF(ISNUMBER((NºAsuntos!C13+NºAsuntos!E13)/NºAsuntos!G13),(NºAsuntos!C13+NºAsuntos!E13)/NºAsuntos!G13," - ")</f>
        <v>6.3280423280423284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1.3333333333333333</v>
      </c>
      <c r="C16" s="442">
        <f>IF(ISNUMBER(NºAsuntos!I16/NºAsuntos!G16),NºAsuntos!I16/NºAsuntos!G16," - ")</f>
        <v>3.6285714285714286</v>
      </c>
      <c r="D16" s="443">
        <f>IF(ISNUMBER('Resol  Asuntos'!D16/NºAsuntos!G16),'Resol  Asuntos'!D16/NºAsuntos!G16," - ")</f>
        <v>0.22857142857142856</v>
      </c>
      <c r="E16" s="444">
        <f>IF(ISNUMBER((NºAsuntos!C16+NºAsuntos!E16)/NºAsuntos!G16),(NºAsuntos!C16+NºAsuntos!E16)/NºAsuntos!G16," - ")</f>
        <v>4.621428571428571</v>
      </c>
      <c r="G16" s="462"/>
    </row>
    <row r="17" spans="1:7" ht="21.75" thickBot="1">
      <c r="A17" s="401" t="str">
        <f>Datos!A17</f>
        <v>Jdos. Violencia contra la mujer/Secc Viol. TI.</v>
      </c>
      <c r="B17" s="441">
        <f>IF(ISNUMBER(NºAsuntos!G17/NºAsuntos!E17),NºAsuntos!G17/NºAsuntos!E17," - ")</f>
        <v>0.88888888888888884</v>
      </c>
      <c r="C17" s="442">
        <f>IF(ISNUMBER(NºAsuntos!I17/NºAsuntos!G17),NºAsuntos!I17/NºAsuntos!G17," - ")</f>
        <v>4.25</v>
      </c>
      <c r="D17" s="443">
        <f>IF(ISNUMBER('Resol  Asuntos'!D17/NºAsuntos!G17),'Resol  Asuntos'!D17/NºAsuntos!G17," - ")</f>
        <v>0.5</v>
      </c>
      <c r="E17" s="444">
        <f>IF(ISNUMBER((NºAsuntos!C17+NºAsuntos!E17)/NºAsuntos!G17),(NºAsuntos!C17+NºAsuntos!E17)/NºAsuntos!G17," - ")</f>
        <v>5.25</v>
      </c>
      <c r="G17" s="462"/>
    </row>
    <row r="18" spans="1:7" ht="14.25" thickTop="1" thickBot="1">
      <c r="A18" s="847" t="str">
        <f>Datos!A18</f>
        <v>TOTAL</v>
      </c>
      <c r="B18" s="857">
        <f>IF(ISNUMBER(NºAsuntos!G18/NºAsuntos!E18),NºAsuntos!G18/NºAsuntos!E18," - ")</f>
        <v>1.2982456140350878</v>
      </c>
      <c r="C18" s="858">
        <f>IF(ISNUMBER(NºAsuntos!I18/NºAsuntos!G18),NºAsuntos!I18/NºAsuntos!G18," - ")</f>
        <v>3.6621621621621623</v>
      </c>
      <c r="D18" s="861">
        <f>IF(ISNUMBER('Resol  Asuntos'!D18/NºAsuntos!G18),'Resol  Asuntos'!D18/NºAsuntos!G18," - ")</f>
        <v>0.24324324324324326</v>
      </c>
      <c r="E18" s="860">
        <f>IF(ISNUMBER((NºAsuntos!C18+NºAsuntos!E18)/NºAsuntos!G18),(NºAsuntos!C18+NºAsuntos!E18)/NºAsuntos!G18," - ")</f>
        <v>4.6554054054054053</v>
      </c>
      <c r="G18" s="462"/>
    </row>
    <row r="19" spans="1:7" ht="15.75" customHeight="1" thickTop="1" thickBot="1">
      <c r="A19" s="792" t="str">
        <f>Datos!A19</f>
        <v>TOTAL JURISDICCIONES</v>
      </c>
      <c r="B19" s="807">
        <f>IF(ISNUMBER(NºAsuntos!G19/NºAsuntos!E19),NºAsuntos!G19/NºAsuntos!E19," - ")</f>
        <v>1.4219409282700421</v>
      </c>
      <c r="C19" s="808">
        <f>IF(ISNUMBER(NºAsuntos!I19/NºAsuntos!G19),NºAsuntos!I19/NºAsuntos!G19," - ")</f>
        <v>4.646884272997033</v>
      </c>
      <c r="D19" s="809">
        <f>IF(ISNUMBER('Resol  Asuntos'!D19/NºAsuntos!G19),'Resol  Asuntos'!D19/NºAsuntos!G19," - ")</f>
        <v>0.29970326409495551</v>
      </c>
      <c r="E19" s="810">
        <f>IF(ISNUMBER((NºAsuntos!C19+NºAsuntos!E19)/NºAsuntos!G19),(NºAsuntos!C19+NºAsuntos!E19)/NºAsuntos!G19," - ")</f>
        <v>5.5934718100890208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xrXaVAZhERfEQCZawqidSWVXlxq/QC698KN9ZbEsTnF2UU5hE1ZKnlY4mOIUk41m5Ek47IjrfklTtfz2gRQjw==" saltValue="SOpiPF86GzcQNw+FGKvA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VILLAFRANCA DE LOS BARROS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v>
      </c>
      <c r="Y12" s="333">
        <f t="shared" si="0"/>
        <v>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65</v>
      </c>
      <c r="AJ12" s="228" t="str">
        <f>IF(ISNUMBER(Datos!BW12),Datos!BW12," - ")</f>
        <v xml:space="preserve"> - </v>
      </c>
      <c r="AK12" s="227" t="str">
        <f>IF(ISNUMBER(Datos!BX12),Datos!BX12," - ")</f>
        <v xml:space="preserve"> - </v>
      </c>
      <c r="AL12" s="242">
        <f>IF(ISNUMBER(NºAsuntos!G12/NºAsuntos!E12),NºAsuntos!G12/NºAsuntos!E12," - ")</f>
        <v>1.5365853658536586</v>
      </c>
      <c r="AM12" s="259">
        <f>IF(ISNUMBER(((NºAsuntos!I12/NºAsuntos!G12)*11)/factor_trimestre),((NºAsuntos!I12/NºAsuntos!G12)*11)/factor_trimestre," - ")</f>
        <v>10.825396825396826</v>
      </c>
      <c r="AN12" s="243">
        <f>IF(ISNUMBER('Resol  Asuntos'!D12/NºAsuntos!G12),'Resol  Asuntos'!D12/NºAsuntos!G12," - ")</f>
        <v>0.3439153439153439</v>
      </c>
      <c r="AO12" s="244">
        <f>IF(ISNUMBER((NºAsuntos!C12+NºAsuntos!E12)/NºAsuntos!G12),(NºAsuntos!C12+NºAsuntos!E12)/NºAsuntos!G12," - ")</f>
        <v>6.3227513227513228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34</v>
      </c>
      <c r="Y13" s="867">
        <f t="shared" si="4"/>
        <v>34</v>
      </c>
      <c r="Z13" s="867">
        <f t="shared" si="4"/>
        <v>0</v>
      </c>
      <c r="AA13" s="867">
        <f t="shared" si="4"/>
        <v>1</v>
      </c>
      <c r="AB13" s="867">
        <f t="shared" si="4"/>
        <v>1086</v>
      </c>
      <c r="AC13" s="867">
        <f t="shared" si="4"/>
        <v>1</v>
      </c>
      <c r="AD13" s="867">
        <f t="shared" si="4"/>
        <v>0</v>
      </c>
      <c r="AE13" s="871">
        <f t="shared" si="4"/>
        <v>0</v>
      </c>
      <c r="AF13" s="864">
        <f t="shared" si="4"/>
        <v>0</v>
      </c>
      <c r="AG13" s="872">
        <f t="shared" si="4"/>
        <v>0</v>
      </c>
      <c r="AH13" s="869">
        <f t="shared" si="4"/>
        <v>0</v>
      </c>
      <c r="AI13" s="864">
        <f t="shared" si="4"/>
        <v>65</v>
      </c>
      <c r="AJ13" s="866">
        <f t="shared" si="4"/>
        <v>0</v>
      </c>
      <c r="AK13" s="869">
        <f>SUBTOTAL(9,AK9:AK12)</f>
        <v>0</v>
      </c>
      <c r="AL13" s="873">
        <f>IF(ISNUMBER(NºAsuntos!G13/NºAsuntos!E13),NºAsuntos!G13/NºAsuntos!E13," - ")</f>
        <v>1.5365853658536586</v>
      </c>
      <c r="AM13" s="873">
        <f>IF(ISNUMBER(((NºAsuntos!I13/NºAsuntos!G13)*11)/factor_trimestre),((NºAsuntos!I13/NºAsuntos!G13)*11)/factor_trimestre," - ")</f>
        <v>10.835978835978835</v>
      </c>
      <c r="AN13" s="874">
        <f>IF(ISNUMBER('Resol  Asuntos'!D13/NºAsuntos!G13),'Resol  Asuntos'!D13/NºAsuntos!G13," - ")</f>
        <v>0.3439153439153439</v>
      </c>
      <c r="AO13" s="875">
        <f>IF(ISNUMBER((NºAsuntos!C13+NºAsuntos!E13)/NºAsuntos!G13),(NºAsuntos!C13+NºAsuntos!E13)/NºAsuntos!G13," - ")</f>
        <v>6.3280423280423284</v>
      </c>
      <c r="AP13" s="876" t="str">
        <f t="shared" si="2"/>
        <v xml:space="preserve"> - </v>
      </c>
      <c r="AQ13" s="876">
        <f>IF(ISNUMBER((H13-W13+K13)/(F13)),(H13-W13+K13)/(F13)," - ")</f>
        <v>0</v>
      </c>
      <c r="AR13" s="877">
        <f>IF(ISNUMBER((Datos!P13-Datos!Q13)/(Datos!R13-Datos!P13+Datos!Q13)),(Datos!P13-Datos!Q13)/(Datos!R13-Datos!P13+Datos!Q13)," - ")</f>
        <v>3.4285714285714287E-2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543</v>
      </c>
      <c r="G16" s="332">
        <f>IF(ISNUMBER(IF(D_I="SI",Datos!I16,Datos!I16+Datos!AC16)),IF(D_I="SI",Datos!I16,Datos!I16+Datos!AC16)," - ")</f>
        <v>542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140</v>
      </c>
      <c r="X16" s="225">
        <f>IF(ISNUMBER(Datos!Q16),Datos!Q16," - ")</f>
        <v>2</v>
      </c>
      <c r="Y16" s="333">
        <f t="shared" ref="Y16:Y17" si="7">SUM(W16:X16)</f>
        <v>142</v>
      </c>
      <c r="Z16" s="334" t="str">
        <f>IF(ISNUMBER(Datos!CC16),Datos!CC16," - ")</f>
        <v xml:space="preserve"> - </v>
      </c>
      <c r="AA16" s="331">
        <f>IF(ISNUMBER(IF(D_I="SI",Datos!L16,Datos!L16+Datos!AF16)),IF(D_I="SI",Datos!L16,Datos!L16+Datos!AF16)," - ")</f>
        <v>508</v>
      </c>
      <c r="AB16" s="333">
        <f>IF(ISNUMBER(Datos!R16),Datos!R16," - ")</f>
        <v>33</v>
      </c>
      <c r="AC16" s="333">
        <f t="shared" si="6"/>
        <v>541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v>
      </c>
      <c r="AJ16" s="230" t="str">
        <f>IF(ISNUMBER(Datos!BW16),Datos!BW16," - ")</f>
        <v xml:space="preserve"> - </v>
      </c>
      <c r="AK16" s="231" t="str">
        <f>IF(ISNUMBER(Datos!BX16),Datos!BX16," - ")</f>
        <v xml:space="preserve"> - </v>
      </c>
      <c r="AL16" s="242">
        <f>IF(ISNUMBER(NºAsuntos!G16/NºAsuntos!E16),NºAsuntos!G16/NºAsuntos!E16," - ")</f>
        <v>1.3333333333333333</v>
      </c>
      <c r="AM16" s="259">
        <f>IF(ISNUMBER(((NºAsuntos!I16/NºAsuntos!G16)*11)/factor_trimestre),((NºAsuntos!I16/NºAsuntos!G16)*11)/factor_trimestre," - ")</f>
        <v>7.2571428571428562</v>
      </c>
      <c r="AN16" s="243">
        <f>IF(ISNUMBER('Resol  Asuntos'!D16/NºAsuntos!G16),'Resol  Asuntos'!D16/NºAsuntos!G16," - ")</f>
        <v>0.22857142857142856</v>
      </c>
      <c r="AO16" s="244">
        <f>IF(ISNUMBER((NºAsuntos!C16+NºAsuntos!E16)/NºAsuntos!G16),(NºAsuntos!C16+NºAsuntos!E16)/NºAsuntos!G16," - ")</f>
        <v>4.621428571428571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34</v>
      </c>
      <c r="AB17" s="333">
        <f>IF(ISNUMBER(Datos!R17),Datos!R17," - ")</f>
        <v>0</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0.88888888888888884</v>
      </c>
      <c r="AM17" s="259">
        <f>IF(ISNUMBER(((NºAsuntos!I17/NºAsuntos!G17)*11)/factor_trimestre),((NºAsuntos!I17/NºAsuntos!G17)*11)/factor_trimestre," - ")</f>
        <v>8.5</v>
      </c>
      <c r="AN17" s="243">
        <f>IF(ISNUMBER('Resol  Asuntos'!D17/NºAsuntos!G17),'Resol  Asuntos'!D17/NºAsuntos!G17," - ")</f>
        <v>0.5</v>
      </c>
      <c r="AO17" s="244">
        <f>IF(ISNUMBER((NºAsuntos!C17+NºAsuntos!E17)/NºAsuntos!G17),(NºAsuntos!C17+NºAsuntos!E17)/NºAsuntos!G17," - ")</f>
        <v>5.25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543</v>
      </c>
      <c r="G18" s="865">
        <f>SUBTOTAL(9,G15:G17)</f>
        <v>575</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148</v>
      </c>
      <c r="X18" s="866">
        <f t="shared" si="11"/>
        <v>2</v>
      </c>
      <c r="Y18" s="867">
        <f t="shared" si="11"/>
        <v>150</v>
      </c>
      <c r="Z18" s="867">
        <f t="shared" si="11"/>
        <v>0</v>
      </c>
      <c r="AA18" s="867">
        <f t="shared" si="11"/>
        <v>542</v>
      </c>
      <c r="AB18" s="867">
        <f t="shared" si="11"/>
        <v>33</v>
      </c>
      <c r="AC18" s="867">
        <f t="shared" si="11"/>
        <v>575</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1.2982456140350878</v>
      </c>
      <c r="AM18" s="873">
        <f>IF(ISNUMBER(((NºAsuntos!I18/NºAsuntos!G18)*11)/factor_trimestre),((NºAsuntos!I18/NºAsuntos!G18)*11)/factor_trimestre," - ")</f>
        <v>7.3243243243243237</v>
      </c>
      <c r="AN18" s="874">
        <f>IF(ISNUMBER('Resol  Asuntos'!D18/NºAsuntos!G18),'Resol  Asuntos'!D18/NºAsuntos!G18," - ")</f>
        <v>0.24324324324324326</v>
      </c>
      <c r="AO18" s="875">
        <f>IF(ISNUMBER((NºAsuntos!C18+NºAsuntos!E18)/NºAsuntos!G18),(NºAsuntos!C18+NºAsuntos!E18)/NºAsuntos!G18," - ")</f>
        <v>4.6554054054054053</v>
      </c>
      <c r="AP18" s="876" t="str">
        <f t="shared" si="2"/>
        <v xml:space="preserve"> - </v>
      </c>
      <c r="AQ18" s="876">
        <f>IF(ISNUMBER((H18-W18+K18)/(F18)),(H18-W18+K18)/(F18)," - ")</f>
        <v>-0.27255985267034993</v>
      </c>
      <c r="AR18" s="877">
        <f>IF(ISNUMBER((Datos!P18-Datos!Q18)/(Datos!R18-Datos!P18+Datos!Q18)),(Datos!P18-Datos!Q18)/(Datos!R18-Datos!P18+Datos!Q18)," - ")</f>
        <v>0.13793103448275862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544</v>
      </c>
      <c r="G19" s="820">
        <f t="shared" si="13"/>
        <v>576</v>
      </c>
      <c r="H19" s="819">
        <f t="shared" si="13"/>
        <v>0</v>
      </c>
      <c r="I19" s="821">
        <f t="shared" si="13"/>
        <v>0</v>
      </c>
      <c r="J19" s="821">
        <f t="shared" si="13"/>
        <v>0</v>
      </c>
      <c r="K19" s="880">
        <f t="shared" si="13"/>
        <v>0</v>
      </c>
      <c r="L19" s="821">
        <f t="shared" si="13"/>
        <v>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148</v>
      </c>
      <c r="X19" s="820">
        <f t="shared" si="14"/>
        <v>36</v>
      </c>
      <c r="Y19" s="827">
        <f t="shared" si="14"/>
        <v>184</v>
      </c>
      <c r="Z19" s="827">
        <f t="shared" si="14"/>
        <v>0</v>
      </c>
      <c r="AA19" s="827">
        <f t="shared" si="14"/>
        <v>543</v>
      </c>
      <c r="AB19" s="827">
        <f t="shared" si="14"/>
        <v>1119</v>
      </c>
      <c r="AC19" s="827">
        <f t="shared" si="14"/>
        <v>576</v>
      </c>
      <c r="AD19" s="827">
        <f t="shared" si="14"/>
        <v>0</v>
      </c>
      <c r="AE19" s="829">
        <f t="shared" si="14"/>
        <v>0</v>
      </c>
      <c r="AF19" s="830">
        <f t="shared" si="14"/>
        <v>0</v>
      </c>
      <c r="AG19" s="831">
        <f t="shared" si="14"/>
        <v>0</v>
      </c>
      <c r="AH19" s="829">
        <f t="shared" si="14"/>
        <v>0</v>
      </c>
      <c r="AI19" s="819">
        <f t="shared" si="14"/>
        <v>101</v>
      </c>
      <c r="AJ19" s="819">
        <f t="shared" si="14"/>
        <v>0</v>
      </c>
      <c r="AK19" s="829">
        <f t="shared" si="14"/>
        <v>0</v>
      </c>
      <c r="AL19" s="883">
        <f>IF(ISNUMBER(NºAsuntos!G19/NºAsuntos!E19),NºAsuntos!G19/NºAsuntos!E19," - ")</f>
        <v>1.4219409282700421</v>
      </c>
      <c r="AM19" s="884">
        <f>IF(ISNUMBER(((NºAsuntos!I19/NºAsuntos!G19)*11)/factor_trimestre),((NºAsuntos!I19/NºAsuntos!G19)*11)/factor_trimestre," - ")</f>
        <v>9.293768545994066</v>
      </c>
      <c r="AN19" s="884">
        <f>IF(ISNUMBER('Resol  Asuntos'!D19/NºAsuntos!G19),'Resol  Asuntos'!D19/NºAsuntos!G19," - ")</f>
        <v>0.29970326409495551</v>
      </c>
      <c r="AO19" s="885">
        <f>IF(ISNUMBER((NºAsuntos!C19+NºAsuntos!E19)/NºAsuntos!G19),(NºAsuntos!C19+NºAsuntos!E19)/NºAsuntos!G19," - ")</f>
        <v>5.5934718100890208</v>
      </c>
      <c r="AP19" s="886" t="str">
        <f t="shared" si="2"/>
        <v xml:space="preserve"> - </v>
      </c>
      <c r="AQ19" s="887">
        <f>IF(OR(ISNUMBER(FIND("01",Criterios!A8,1)),ISNUMBER(FIND("02",Criterios!A8,1)),ISNUMBER(FIND("03",Criterios!A8,1)),ISNUMBER(FIND("04",Criterios!A8,1))),(I19-W19+K19)/(F19-K19),(H19-W19+K19)/(F19-K19))</f>
        <v>-0.27205882352941174</v>
      </c>
      <c r="AR19" s="888">
        <f>IF(ISNUMBER((Datos!P19-Datos!Q19)/(Datos!R19-Datos!P19+Datos!Q19)),(Datos!P19-Datos!Q19)/(Datos!R19-Datos!P19+Datos!Q19)," - ")</f>
        <v>3.7071362372567189E-2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312.92384590077717</v>
      </c>
      <c r="G21" s="252">
        <f>IF(ISNUMBER(STDEV(G8:G18)),STDEV(G8:G18),"-")</f>
        <v>300.02466565267599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77.531928906741385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28.232369129541123</v>
      </c>
      <c r="AJ21" s="251">
        <f t="shared" si="18"/>
        <v>0</v>
      </c>
      <c r="AK21" s="253">
        <f t="shared" si="18"/>
        <v>0</v>
      </c>
      <c r="AL21" s="248">
        <f t="shared" si="18"/>
        <v>0.2647254091744709</v>
      </c>
      <c r="AM21" s="249">
        <f t="shared" si="18"/>
        <v>1.7878133212177751</v>
      </c>
      <c r="AN21" s="249">
        <f t="shared" si="18"/>
        <v>0.1084932681610004</v>
      </c>
      <c r="AO21" s="250">
        <f t="shared" si="18"/>
        <v>0.84992894278660769</v>
      </c>
      <c r="AP21" s="290" t="str">
        <f t="shared" si="18"/>
        <v>-</v>
      </c>
      <c r="AQ21" s="291">
        <f t="shared" si="18"/>
        <v>0.19272892010241074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34a+M2Fcn7bB98pTZAz+QHzzn72UTSHw791RFWjmvhuB+tHCzWJi62pod1vCON1zWKamcYgKdf9147NuHdWDgQ==" saltValue="bhWvaE5f0fTOqHpW5VYR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VILLAFRANCA DE LOS BARROS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0.35416666666666669</v>
      </c>
      <c r="I12" s="349">
        <f>IF(ISNUMBER((Tasas!C12-Datos!BE12)/Datos!BE12),(Tasas!C12-Datos!BE12)/Datos!BE12," - ")</f>
        <v>0.20582142527279695</v>
      </c>
      <c r="J12" s="348">
        <f>IF(ISNUMBER((Tasas!D12-Datos!BF12)/Datos!BF12),(Tasas!D12-Datos!BF12)/Datos!BF12," - ")</f>
        <v>-0.39758619497181596</v>
      </c>
      <c r="K12" s="350">
        <f>IF(ISNUMBER((Tasas!E12-Datos!BG12)/Datos!BG12),(Tasas!E12-Datos!BG12)/Datos!BG12," - ")</f>
        <v>0.1519356590736605</v>
      </c>
      <c r="M12" t="e">
        <f>IF(Monitorios="SI",Datos!CE12,0)</f>
        <v>#REF!</v>
      </c>
      <c r="N12" t="e">
        <f>IF(Monitorios="SI",Datos!CF12,0)</f>
        <v>#REF!</v>
      </c>
      <c r="O12" t="e">
        <f>IF(Monitorios="SI",Datos!CG12,0)</f>
        <v>#REF!</v>
      </c>
      <c r="P12" t="e">
        <f>IF(Monitorios="SI",Datos!CH12,0)</f>
        <v>#REF!</v>
      </c>
      <c r="Q12">
        <f>IF(J_V="SI",0,Datos!AG12)</f>
        <v>25</v>
      </c>
      <c r="R12">
        <f>IF(J_V="SI",0,Datos!AH12)</f>
        <v>7</v>
      </c>
      <c r="S12">
        <f>IF(J_V="SI",0,Datos!AI12)</f>
        <v>14</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0.35416666666666669</v>
      </c>
      <c r="I13" s="356">
        <f>IF(ISNUMBER((Tasas!C13-Datos!BE13)/Datos!BE13),(Tasas!C13-Datos!BE13)/Datos!BE13," - ")</f>
        <v>0.20700013634344472</v>
      </c>
      <c r="J13" s="354">
        <f>IF(ISNUMBER((Tasas!D13-Datos!BF13)/Datos!BF13),(Tasas!D13-Datos!BF13)/Datos!BF13," - ")</f>
        <v>-0.39758619497181596</v>
      </c>
      <c r="K13" s="357">
        <f>IF(ISNUMBER((Tasas!E13-Datos!BG13)/Datos!BG13),(Tasas!E13-Datos!BG13)/Datos!BG13," - ")</f>
        <v>0.15289962196828286</v>
      </c>
      <c r="M13" t="e">
        <f>IF(Monitorios="SI",Datos!CE13,0)</f>
        <v>#REF!</v>
      </c>
      <c r="N13" t="e">
        <f>IF(Monitorios="SI",Datos!CF13,0)</f>
        <v>#REF!</v>
      </c>
      <c r="O13" t="e">
        <f>IF(Monitorios="SI",Datos!CG13,0)</f>
        <v>#REF!</v>
      </c>
      <c r="P13" t="e">
        <f>IF(Monitorios="SI",Datos!CH13,0)</f>
        <v>#REF!</v>
      </c>
      <c r="Q13">
        <f>IF(J_V="SI",0,Datos!AG13)</f>
        <v>25</v>
      </c>
      <c r="R13">
        <f>IF(J_V="SI",0,Datos!AH13)</f>
        <v>7</v>
      </c>
      <c r="S13">
        <f>IF(J_V="SI",0,Datos!AI13)</f>
        <v>14</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3.2380952380952378E-2</v>
      </c>
      <c r="E16" s="347">
        <f>IF(ISNUMBER(
   IF(D_I="SI",(Datos!J16-Datos!T16)/Datos!T16,(Datos!J16+Datos!AD16-(Datos!T16+Datos!AL16))/(Datos!T16+Datos!AL16))
     ),IF(D_I="SI",(Datos!J16-Datos!T16)/Datos!T16,(Datos!J16+Datos!AD16-(Datos!T16+Datos!AL16))/(Datos!T16+Datos!AL16))," - ")</f>
        <v>-0.32258064516129031</v>
      </c>
      <c r="F16" s="347">
        <f>IF(ISNUMBER(
   IF(D_I="SI",(Datos!K16-Datos!U16)/Datos!U16,(Datos!K16+Datos!AE16-(Datos!U16+Datos!AM16))/(Datos!U16+Datos!AM16))
     ),IF(D_I="SI",(Datos!K16-Datos!U16)/Datos!U16,(Datos!K16+Datos!AE16-(Datos!U16+Datos!AM16))/(Datos!U16+Datos!AM16))," - ")</f>
        <v>-4.1095890410958902E-2</v>
      </c>
      <c r="G16" s="348">
        <f>IF(ISNUMBER(
   IF(D_I="SI",(Datos!L16-Datos!V16)/Datos!V16,(Datos!L16+Datos!AF16-(Datos!V16+Datos!AN16))/(Datos!V16+Datos!AN16))
     ),IF(D_I="SI",(Datos!L16-Datos!V16)/Datos!V16,(Datos!L16+Datos!AF16-(Datos!V16+Datos!AN16))/(Datos!V16+Datos!AN16))," - ")</f>
        <v>-5.046728971962617E-2</v>
      </c>
      <c r="H16" s="229">
        <f>IF(ISNUMBER((Datos!M16-Datos!W16)/Datos!W16),(Datos!M16-Datos!W16)/Datos!W16," - ")</f>
        <v>1</v>
      </c>
      <c r="I16" s="349">
        <f>IF(ISNUMBER((Tasas!C16-Datos!BE16)/Datos!BE16),(Tasas!C16-Datos!BE16)/Datos!BE16," - ")</f>
        <v>-9.7730307076102085E-3</v>
      </c>
      <c r="J16" s="348">
        <f>IF(ISNUMBER((Tasas!D16-Datos!BF16)/Datos!BF16),(Tasas!D16-Datos!BF16)/Datos!BF16," - ")</f>
        <v>1.0857142857142859</v>
      </c>
      <c r="K16" s="350">
        <f>IF(ISNUMBER((Tasas!E16-Datos!BG16)/Datos!BG16),(Tasas!E16-Datos!BG16)/Datos!BG16," - ")</f>
        <v>-7.7521008403362195E-3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-8.3333333333333329E-2</v>
      </c>
      <c r="E17" s="347">
        <f>IF(ISNUMBER(
   IF(D_I="SI",(Datos!J17-Datos!T17)/Datos!T17,(Datos!J17+Datos!AD17-(Datos!T17+Datos!AL17))/(Datos!T17+Datos!AL17))
     ),IF(D_I="SI",(Datos!J17-Datos!T17)/Datos!T17,(Datos!J17+Datos!AD17-(Datos!T17+Datos!AL17))/(Datos!T17+Datos!AL17))," - ")</f>
        <v>-0.1</v>
      </c>
      <c r="F17" s="347">
        <f>IF(ISNUMBER(
   IF(D_I="SI",(Datos!K17-Datos!U17)/Datos!U17,(Datos!K17+Datos!AE17-(Datos!U17+Datos!AM17))/(Datos!U17+Datos!AM17))
     ),IF(D_I="SI",(Datos!K17-Datos!U17)/Datos!U17,(Datos!K17+Datos!AE17-(Datos!U17+Datos!AM17))/(Datos!U17+Datos!AM17))," - ")</f>
        <v>-0.2</v>
      </c>
      <c r="G17" s="348">
        <f>IF(ISNUMBER(
   IF(D_I="SI",(Datos!L17-Datos!V17)/Datos!V17,(Datos!L17+Datos!AF17-(Datos!V17+Datos!AN17))/(Datos!V17+Datos!AN17))
     ),IF(D_I="SI",(Datos!L17-Datos!V17)/Datos!V17,(Datos!L17+Datos!AF17-(Datos!V17+Datos!AN17))/(Datos!V17+Datos!AN17))," - ")</f>
        <v>-5.5555555555555552E-2</v>
      </c>
      <c r="H17" s="229" t="str">
        <f>IF(ISNUMBER((Datos!M17-Datos!W17)/Datos!W17),(Datos!M17-Datos!W17)/Datos!W17," - ")</f>
        <v xml:space="preserve"> - </v>
      </c>
      <c r="I17" s="349">
        <f>IF(ISNUMBER((Tasas!C17-Datos!BE17)/Datos!BE17),(Tasas!C17-Datos!BE17)/Datos!BE17," - ")</f>
        <v>0.18055555555555552</v>
      </c>
      <c r="J17" s="348" t="str">
        <f>IF(ISNUMBER((Tasas!D17-Datos!BF17)/Datos!BF17),(Tasas!D17-Datos!BF17)/Datos!BF17," - ")</f>
        <v xml:space="preserve"> - </v>
      </c>
      <c r="K17" s="350">
        <f>IF(ISNUMBER((Tasas!E17-Datos!BG17)/Datos!BG17),(Tasas!E17-Datos!BG17)/Datos!BG17," - ")</f>
        <v>0.14130434782608706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2.4955436720142603E-2</v>
      </c>
      <c r="E18" s="353">
        <f>IF(ISNUMBER(
   IF(D_I="SI",(Datos!J18-Datos!T18)/Datos!T18,(Datos!J18+Datos!AD18-(Datos!T18+Datos!AL18))/(Datos!T18+Datos!AL18))
     ),IF(D_I="SI",(Datos!J18-Datos!T18)/Datos!T18,(Datos!J18+Datos!AD18-(Datos!T18+Datos!AL18))/(Datos!T18+Datos!AL18))," - ")</f>
        <v>-0.30909090909090908</v>
      </c>
      <c r="F18" s="353">
        <f>IF(ISNUMBER(
   IF(D_I="SI",(Datos!K18-Datos!U18)/Datos!U18,(Datos!K18+Datos!AE18-(Datos!U18+Datos!AM18))/(Datos!U18+Datos!AM18))
     ),IF(D_I="SI",(Datos!K18-Datos!U18)/Datos!U18,(Datos!K18+Datos!AE18-(Datos!U18+Datos!AM18))/(Datos!U18+Datos!AM18))," - ")</f>
        <v>-5.128205128205128E-2</v>
      </c>
      <c r="G18" s="354">
        <f>IF(ISNUMBER(
   IF(D_I="SI",(Datos!L18-Datos!V18)/Datos!V18,(Datos!L18+Datos!AF18-(Datos!V18+Datos!AN18))/(Datos!V18+Datos!AN18))
     ),IF(D_I="SI",(Datos!L18-Datos!V18)/Datos!V18,(Datos!L18+Datos!AF18-(Datos!V18+Datos!AN18))/(Datos!V18+Datos!AN18))," - ")</f>
        <v>-5.0788091068301226E-2</v>
      </c>
      <c r="H18" s="355">
        <f>IF(ISNUMBER((Datos!M18-Datos!W18)/Datos!W18),(Datos!M18-Datos!W18)/Datos!W18," - ")</f>
        <v>1.25</v>
      </c>
      <c r="I18" s="356">
        <f>IF(ISNUMBER((Tasas!C18-Datos!BE18)/Datos!BE18),(Tasas!C18-Datos!BE18)/Datos!BE18," - ")</f>
        <v>5.206607658447208E-4</v>
      </c>
      <c r="J18" s="354">
        <f>IF(ISNUMBER((Tasas!D18-Datos!BF18)/Datos!BF18),(Tasas!D18-Datos!BF18)/Datos!BF18," - ")</f>
        <v>1.3716216216216219</v>
      </c>
      <c r="K18" s="357">
        <f>IF(ISNUMBER((Tasas!E18-Datos!BG18)/Datos!BG18),(Tasas!E18-Datos!BG18)/Datos!BG18," - ")</f>
        <v>3.3504578959113977E-4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-5.1783659378596088E-2</v>
      </c>
      <c r="E19" s="362">
        <f>IF(ISNUMBER(
   IF(J_V="SI",(Datos!J19-Datos!T19)/Datos!T19,(Datos!J19+Datos!Z19-(Datos!T19+Datos!AH19))/(Datos!T19+Datos!AH19))
     ),IF(J_V="SI",(Datos!J19-Datos!T19)/Datos!T19,(Datos!J19+Datos!Z19-(Datos!T19+Datos!AH19))/(Datos!T19+Datos!AH19))," - ")</f>
        <v>-0.48366013071895425</v>
      </c>
      <c r="F19" s="362">
        <f>IF(ISNUMBER(
   IF(J_V="SI",(Datos!K19-Datos!U19)/Datos!U19,(Datos!K19+Datos!AA19-(Datos!U19+Datos!AI19))/(Datos!U19+Datos!AI19))
     ),IF(J_V="SI",(Datos!K19-Datos!U19)/Datos!U19,(Datos!K19+Datos!AA19-(Datos!U19+Datos!AI19))/(Datos!U19+Datos!AI19))," - ")</f>
        <v>-0.20518867924528303</v>
      </c>
      <c r="G19" s="363">
        <f>IF(ISNUMBER(
   IF(J_V="SI",(Datos!L19-Datos!V19)/Datos!V19,(Datos!L19+Datos!AB19-(Datos!V19+Datos!AJ19))/(Datos!V19+Datos!AJ19))
     ),IF(J_V="SI",(Datos!L19-Datos!V19)/Datos!V19,(Datos!L19+Datos!AB19-(Datos!V19+Datos!AJ19))/(Datos!V19+Datos!AJ19))," - ")</f>
        <v>-0.11724915445321307</v>
      </c>
      <c r="H19" s="364">
        <f>IF(ISNUMBER((Datos!M19-Datos!W19)/Datos!W19),(Datos!M19-Datos!W19)/Datos!W19," - ")</f>
        <v>0.578125</v>
      </c>
      <c r="I19" s="361">
        <f>IF(ISNUMBER((Tasas!C19-Datos!BE19)/Datos!BE19),(Tasas!C19-Datos!BE19)/Datos!BE19," - ")</f>
        <v>0.11064201338824246</v>
      </c>
      <c r="J19" s="362">
        <f>IF(ISNUMBER((Tasas!D19-Datos!BF19)/Datos!BF19),(Tasas!D19-Datos!BF19)/Datos!BF19," - ")</f>
        <v>-0.24808175161975657</v>
      </c>
      <c r="K19" s="363">
        <f>IF(ISNUMBER((Tasas!E19-Datos!BG19)/Datos!BG19),(Tasas!E19-Datos!BG19)/Datos!BG19," - ")</f>
        <v>7.9486594209260325E-2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6.4770610517542168E-2</v>
      </c>
      <c r="E21" s="277">
        <f t="shared" si="1"/>
        <v>0.1247952488706518</v>
      </c>
      <c r="F21" s="277">
        <f t="shared" si="1"/>
        <v>8.8948770076237527E-2</v>
      </c>
      <c r="G21" s="278">
        <f t="shared" si="1"/>
        <v>2.8496222076978624E-3</v>
      </c>
      <c r="H21" s="284">
        <f t="shared" si="1"/>
        <v>0.4565939216188265</v>
      </c>
      <c r="I21" s="276">
        <f t="shared" si="1"/>
        <v>0.1114307670047201</v>
      </c>
      <c r="J21" s="277">
        <f t="shared" si="1"/>
        <v>0.94614552410131891</v>
      </c>
      <c r="K21" s="278">
        <f t="shared" si="1"/>
        <v>8.3657584202650723E-2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c0pzYL9TLUwfNpCuoJTPg3tx/YNkh//jSf/k6I4jS1HTfwoAoMAfUBdnA7FabK9Wt0cYKY2JrpXLG3UncskQ==" saltValue="awqTh9uqpxR9OgyNI3b6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